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glio1" sheetId="1" r:id="rId4"/>
  </sheets>
  <definedNames>
    <definedName hidden="1" localSheetId="0" name="_xlnm._FilterDatabase">Foglio1!$A$1:$M$99</definedName>
  </definedNames>
  <calcPr/>
</workbook>
</file>

<file path=xl/sharedStrings.xml><?xml version="1.0" encoding="utf-8"?>
<sst xmlns="http://schemas.openxmlformats.org/spreadsheetml/2006/main" count="242" uniqueCount="103">
  <si>
    <t>FABBISOGNI</t>
  </si>
  <si>
    <t>VALORI ECONOMICI</t>
  </si>
  <si>
    <t xml:space="preserve">LOTTI </t>
  </si>
  <si>
    <t>CRITERIO DI AGGIUDICAZIONE</t>
  </si>
  <si>
    <t>NOME PRODOTTO</t>
  </si>
  <si>
    <t>FABBISOGNO AOPG (12 mesi)</t>
  </si>
  <si>
    <t>FABBISOGNO AOPG (48 mesi)</t>
  </si>
  <si>
    <t>FABBISOGNO AOTR (12 mesi)</t>
  </si>
  <si>
    <t>FABBISOGNO AOTR (48 mesi)</t>
  </si>
  <si>
    <t>TOTALE FABBISOGNO REGIONALE 48 MESI</t>
  </si>
  <si>
    <t>PREZZO DEL SINGOLO DISPOSITIVO PER BASE D'ASTA</t>
  </si>
  <si>
    <t xml:space="preserve">VALORE A BASE D'ASTA IVA ESLCUSA 48 MESI </t>
  </si>
  <si>
    <t>VALORE MASSIMO SPENDIBILE AQ</t>
  </si>
  <si>
    <t>VALORE OPZIONE QUINTO D'OBBLIGO</t>
  </si>
  <si>
    <t>VALORE COMPLESSIVO DELL'APPALTO</t>
  </si>
  <si>
    <t>GARANZIA 2%</t>
  </si>
  <si>
    <t xml:space="preserve">CONTRIBUTO ANAC </t>
  </si>
  <si>
    <t>OEPV</t>
  </si>
  <si>
    <t xml:space="preserve">CANNULE ARTERIOSE FEMORALI </t>
  </si>
  <si>
    <t>CANNULA ARTERIOSA</t>
  </si>
  <si>
    <t>CANNULE ARTERIOSE RETTE</t>
  </si>
  <si>
    <t>ESENTE</t>
  </si>
  <si>
    <t>CANNULA ARTERIOSA MININVASIVA</t>
  </si>
  <si>
    <t>CANNULE VENOSE DOPPIO STADIO</t>
  </si>
  <si>
    <t xml:space="preserve">CANNULE VENOSE PER CANNULAZIONE BICAVALE </t>
  </si>
  <si>
    <t>CANNULE VENOSE SINGOLO  STADIO</t>
  </si>
  <si>
    <t>CATETERE PER ASPIRAZIONE  VENTRICOLARE</t>
  </si>
  <si>
    <t>OEPV IN AQ</t>
  </si>
  <si>
    <t xml:space="preserve">ASPIRATORI PER CAVITÀ PERICARDICA </t>
  </si>
  <si>
    <t>PPB</t>
  </si>
  <si>
    <t>ASPIRATORE DI CAMPO DELICATO</t>
  </si>
  <si>
    <t>ASPIRATORE DI CAMPO INTRACARDIACO</t>
  </si>
  <si>
    <t>SET DISTRIBUZIONE CARDIOPLEGIA</t>
  </si>
  <si>
    <t>STRAIGHT ADAPTOR 1/4 LL</t>
  </si>
  <si>
    <t>CANNULA CARDIOPLEGIA ANTEROGRADA</t>
  </si>
  <si>
    <t>CANNULE PER OSTI CORONARICI</t>
  </si>
  <si>
    <t xml:space="preserve">OEPV </t>
  </si>
  <si>
    <t xml:space="preserve">KIT PER RETROPERFUSIONE CEREBRALE </t>
  </si>
  <si>
    <t>OEPV in AQ</t>
  </si>
  <si>
    <t>CANNULA PER CARDIOPLEGIA RETROGRADA</t>
  </si>
  <si>
    <t>KIT PER INSERZIONE PERCUTANEA ARTERIOSA</t>
  </si>
  <si>
    <t>KIT PER INSERZIONE PERCUTANEA VENOSA</t>
  </si>
  <si>
    <t>CIRCUITI PER CEC AO TR</t>
  </si>
  <si>
    <t>CIRCUITI PER CEC AO PG</t>
  </si>
  <si>
    <t>KIT OSSIGENANTE PER CIRCOLAZIONE EXTRACORPOREA Terni</t>
  </si>
  <si>
    <t>KIT OSSIGENANTE PER CIRCOLAZIONE EXTRACORPOREA  Perugia</t>
  </si>
  <si>
    <t>OSSIGENATORE PER CEC DI  PER ADULTI</t>
  </si>
  <si>
    <t>OSSIGENATORE PER CEC DI  PER PICCOLI ADULTI</t>
  </si>
  <si>
    <t>KIT PER INFUSIONE CARDIOPLEGICA</t>
  </si>
  <si>
    <t>CAMPANA PER POMPA CENTRIFUGA</t>
  </si>
  <si>
    <t>EMOFILTRO</t>
  </si>
  <si>
    <t>CIRCUITO PER INFUSIONE CARDIOPLEGICA PER CUSTUDIOL</t>
  </si>
  <si>
    <t>CIRCUITO PER CARDIOPLEGIA FREDDA DEL NIDO</t>
  </si>
  <si>
    <t>TRAPPOLA PER BOLLE PER CEC ADULTI</t>
  </si>
  <si>
    <t>KIT PER IL DRENAGGIO VENOSO ASSISTITO CON VUOTO</t>
  </si>
  <si>
    <t>RACCORDO KAZUI</t>
  </si>
  <si>
    <t>INTRODUTTORI PER SWANN GANZ</t>
  </si>
  <si>
    <t>CANNULA PERCUTANEA VENOSA MULTI STADIO CON KIT DI INSERZIONE PER MININVASIVA</t>
  </si>
  <si>
    <t>AGO CARDIOPLEGIA ANTEROGRADA PER INTERVENTI IN MINI INVASIVA</t>
  </si>
  <si>
    <t>ADATTATORI PER CARDIOPLEGIA IN MINI INVASIVA</t>
  </si>
  <si>
    <t>1. APPLICATORI CLIP</t>
  </si>
  <si>
    <t>2. CLIP IN TITANIO</t>
  </si>
  <si>
    <t>COLLA CHIRURGICA A BASE DI ALBUMINA SERICA BOVINA - KIT COMPLETO</t>
  </si>
  <si>
    <t>COLLA CHIRURGICA A BASE DI GELATINA E RESORCINOLO - KIT COMPLETO</t>
  </si>
  <si>
    <t>COLLA CHIRURGICA - SIGILLANTE EMOSTATICO</t>
  </si>
  <si>
    <t xml:space="preserve">PUNCH AORTICI </t>
  </si>
  <si>
    <t>SHUNT INTRACORONARICI</t>
  </si>
  <si>
    <t xml:space="preserve"> KIT TOURNIQUET IN SILICONE </t>
  </si>
  <si>
    <t>KIT TOURNIQUET IN SILICONE - 6TUBI</t>
  </si>
  <si>
    <t>KIT TOURNIQUET IN SILICONE - 3 TUBI</t>
  </si>
  <si>
    <t>KIT PER STABILIZZATORE CARDIACO</t>
  </si>
  <si>
    <t>ELETTRODO PER STIMOLAZIONE CARDIACA TEMPORANEA</t>
  </si>
  <si>
    <t xml:space="preserve">SET PROCEDURALE MONOUSO STERILE PER INTERVENTO DI CARDIOCHIRURGIA </t>
  </si>
  <si>
    <t>ORGANIZZATORI PER SUTURA</t>
  </si>
  <si>
    <t xml:space="preserve">KIT MONOUSO IN TNT </t>
  </si>
  <si>
    <t>DIVARICATORE PER LEMBI VALVOLARI</t>
  </si>
  <si>
    <t>CONNETTORI</t>
  </si>
  <si>
    <t>1. SPEZZONE TUBO CON SOTTOPOMPA PER CEC DA ¼</t>
  </si>
  <si>
    <t>2. TUBO PER CEC TUBO 1/2</t>
  </si>
  <si>
    <t>3. TUBO PER CEC TUBO 3/8</t>
  </si>
  <si>
    <t>4. SPEZZONE TUBO CON SOTTOPOMPA PER CEC DA 3/8</t>
  </si>
  <si>
    <t>FILTRO PER MICROAGGREGATI</t>
  </si>
  <si>
    <t xml:space="preserve"> 1. SISTEMA MONITORAGGIO IN LINEA PER CEC IN NOLEGGIO</t>
  </si>
  <si>
    <t>2 sistemi a noleggio per 12 mesi</t>
  </si>
  <si>
    <t>2 sistemi a noleggio per 48 mesi</t>
  </si>
  <si>
    <t>€ 28.800 per 12 mesi</t>
  </si>
  <si>
    <t xml:space="preserve">2. PROBE PER LA RILEVAZIONE DEI PARAMETRI EMOGASANALITICI ED EMODINAMICI IN CONTINUO </t>
  </si>
  <si>
    <t>1. MACCHINA PER SISTEMA ECMO IN NOLEGGIO</t>
  </si>
  <si>
    <t>2 macchine a noleggio per 12 mesi</t>
  </si>
  <si>
    <t>2 macchine a noleggio per 48 mesi</t>
  </si>
  <si>
    <t>€ 36.000 per 12 mesi</t>
  </si>
  <si>
    <t>2. SISTEMA INTEGRATO PER ASSISTENZE CARDIORESPIRATORIE CON DURATA CERTIFICATA DI ALMENO 14 gg</t>
  </si>
  <si>
    <t xml:space="preserve">1. CANNULE ARTERIOSE CON POSSIBILITA' DI ACCESSO PERCUTANEO PER L'UTILIZZO NELLE ASSISTENZE CARDIORESPIRATORIE PER PROCEDURE ECMO </t>
  </si>
  <si>
    <t xml:space="preserve">2. CANNULE VENOSE CON POSSIBILITA' DI ACCESSO PERCUTANEO PER L'UTILIZZO NELLE ASSISTENZE CARDIORESPIRATORIE PER PROCEDURE ECMO </t>
  </si>
  <si>
    <t>3. KIT DI INTRODUZIONE PER CANNULE ARTERIOSE E VENOSE</t>
  </si>
  <si>
    <t>SISTEMA PER LA RIPERFUSIONE DEGLI ARTI PER ECMO PERIFERICO IN EMERGENZA</t>
  </si>
  <si>
    <t>CANNULINE SELETTIVE PER INFUSIONE CARDIOPLEGICA</t>
  </si>
  <si>
    <t>1. FALDA 4,5 X 4,5 CM</t>
  </si>
  <si>
    <t>2. FALDA 4,5 X 9</t>
  </si>
  <si>
    <t>CANNULE FEMORALI AUTO ESPANDIBILI</t>
  </si>
  <si>
    <t>CANNULA VENOSA PERCUTANEA</t>
  </si>
  <si>
    <t>SIGILLANTE EMOSTATICO</t>
  </si>
  <si>
    <t xml:space="preserve">CANNULE VENOSE
PROFILO PIATTO
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</si>
</sst>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-2]\ #,##0.00"/>
  </numFmts>
  <fonts count="6">
    <font>
      <sz val="10.0"/>
      <color rgb="FF000000"/>
      <name val="Arial"/>
      <scheme val="minor"/>
    </font>
    <font>
      <b/>
      <sz val="10.0"/>
      <color theme="1"/>
      <name val="Arial"/>
    </font>
    <font>
      <b/>
      <sz val="10.0"/>
      <color rgb="FF000000"/>
      <name val="Arial"/>
    </font>
    <font/>
    <font>
      <sz val="10.0"/>
      <color theme="1"/>
      <name val="Arial"/>
    </font>
    <font>
      <i/>
      <sz val="11.0"/>
      <color theme="1"/>
      <name val="Arial"/>
    </font>
  </fonts>
  <fills count="7">
    <fill>
      <patternFill patternType="none"/>
    </fill>
    <fill>
      <patternFill patternType="lightGray"/>
    </fill>
    <fill>
      <patternFill patternType="solid">
        <fgColor rgb="FFEAD1DC"/>
        <bgColor rgb="FFEAD1DC"/>
      </patternFill>
    </fill>
    <fill>
      <patternFill patternType="solid">
        <fgColor rgb="FFD0E0E3"/>
        <bgColor rgb="FFD0E0E3"/>
      </patternFill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  <fill>
      <patternFill patternType="solid">
        <fgColor rgb="FF6FA8DC"/>
        <bgColor rgb="FF6FA8DC"/>
      </patternFill>
    </fill>
  </fills>
  <borders count="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6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0" fontId="2" numFmtId="3" xfId="0" applyAlignment="1" applyBorder="1" applyFont="1" applyNumberFormat="1">
      <alignment horizontal="center" readingOrder="0" shrinkToFit="0" vertical="center" wrapText="1"/>
    </xf>
    <xf borderId="2" fillId="0" fontId="3" numFmtId="0" xfId="0" applyBorder="1" applyFont="1"/>
    <xf borderId="3" fillId="0" fontId="3" numFmtId="0" xfId="0" applyBorder="1" applyFont="1"/>
    <xf borderId="0" fillId="0" fontId="4" numFmtId="164" xfId="0" applyAlignment="1" applyFont="1" applyNumberFormat="1">
      <alignment horizontal="center" readingOrder="0" vertical="center"/>
    </xf>
    <xf borderId="4" fillId="0" fontId="1" numFmtId="0" xfId="0" applyAlignment="1" applyBorder="1" applyFont="1">
      <alignment horizontal="center" readingOrder="0" vertical="center"/>
    </xf>
    <xf borderId="4" fillId="0" fontId="2" numFmtId="0" xfId="0" applyAlignment="1" applyBorder="1" applyFont="1">
      <alignment horizontal="center" readingOrder="0" shrinkToFit="0" vertical="center" wrapText="1"/>
    </xf>
    <xf borderId="4" fillId="0" fontId="1" numFmtId="0" xfId="0" applyAlignment="1" applyBorder="1" applyFont="1">
      <alignment horizontal="center" shrinkToFit="0" vertical="center" wrapText="1"/>
    </xf>
    <xf borderId="4" fillId="2" fontId="2" numFmtId="3" xfId="0" applyAlignment="1" applyBorder="1" applyFill="1" applyFont="1" applyNumberFormat="1">
      <alignment horizontal="center" readingOrder="0" shrinkToFit="0" vertical="center" wrapText="1"/>
    </xf>
    <xf borderId="4" fillId="3" fontId="2" numFmtId="3" xfId="0" applyAlignment="1" applyBorder="1" applyFill="1" applyFont="1" applyNumberFormat="1">
      <alignment horizontal="center" readingOrder="0" shrinkToFit="0" vertical="center" wrapText="1"/>
    </xf>
    <xf borderId="4" fillId="4" fontId="2" numFmtId="3" xfId="0" applyAlignment="1" applyBorder="1" applyFill="1" applyFont="1" applyNumberFormat="1">
      <alignment horizontal="center" readingOrder="0" shrinkToFit="0" vertical="center" wrapText="1"/>
    </xf>
    <xf borderId="4" fillId="0" fontId="1" numFmtId="164" xfId="0" applyAlignment="1" applyBorder="1" applyFont="1" applyNumberFormat="1">
      <alignment horizontal="center" readingOrder="0" shrinkToFit="0" vertical="center" wrapText="1"/>
    </xf>
    <xf borderId="4" fillId="0" fontId="1" numFmtId="0" xfId="0" applyAlignment="1" applyBorder="1" applyFont="1">
      <alignment horizontal="center" readingOrder="0" shrinkToFit="0" vertical="center" wrapText="1"/>
    </xf>
    <xf borderId="4" fillId="0" fontId="1" numFmtId="0" xfId="0" applyAlignment="1" applyBorder="1" applyFont="1">
      <alignment horizontal="center" vertical="center"/>
    </xf>
    <xf borderId="4" fillId="0" fontId="4" numFmtId="3" xfId="0" applyAlignment="1" applyBorder="1" applyFont="1" applyNumberFormat="1">
      <alignment horizontal="center" vertical="center"/>
    </xf>
    <xf borderId="4" fillId="0" fontId="4" numFmtId="164" xfId="0" applyAlignment="1" applyBorder="1" applyFont="1" applyNumberFormat="1">
      <alignment horizontal="center" readingOrder="0" vertical="center"/>
    </xf>
    <xf borderId="4" fillId="0" fontId="4" numFmtId="164" xfId="0" applyAlignment="1" applyBorder="1" applyFont="1" applyNumberFormat="1">
      <alignment horizontal="center" vertical="center"/>
    </xf>
    <xf borderId="4" fillId="0" fontId="4" numFmtId="0" xfId="0" applyBorder="1" applyFont="1"/>
    <xf borderId="4" fillId="0" fontId="4" numFmtId="164" xfId="0" applyAlignment="1" applyBorder="1" applyFont="1" applyNumberFormat="1">
      <alignment vertical="center"/>
    </xf>
    <xf borderId="4" fillId="0" fontId="5" numFmtId="164" xfId="0" applyAlignment="1" applyBorder="1" applyFont="1" applyNumberFormat="1">
      <alignment horizontal="center" vertical="center"/>
    </xf>
    <xf borderId="5" fillId="0" fontId="4" numFmtId="3" xfId="0" applyAlignment="1" applyBorder="1" applyFont="1" applyNumberFormat="1">
      <alignment horizontal="center" vertical="center"/>
    </xf>
    <xf borderId="4" fillId="0" fontId="4" numFmtId="3" xfId="0" applyAlignment="1" applyBorder="1" applyFont="1" applyNumberFormat="1">
      <alignment horizontal="center" readingOrder="0" vertical="center"/>
    </xf>
    <xf borderId="4" fillId="5" fontId="1" numFmtId="0" xfId="0" applyAlignment="1" applyBorder="1" applyFill="1" applyFont="1">
      <alignment horizontal="center" shrinkToFit="0" vertical="center" wrapText="1"/>
    </xf>
    <xf borderId="4" fillId="6" fontId="1" numFmtId="0" xfId="0" applyAlignment="1" applyBorder="1" applyFill="1" applyFont="1">
      <alignment horizontal="center" shrinkToFit="0" vertical="center" wrapText="1"/>
    </xf>
    <xf borderId="4" fillId="0" fontId="5" numFmtId="164" xfId="0" applyAlignment="1" applyBorder="1" applyFont="1" applyNumberFormat="1">
      <alignment horizontal="center" readingOrder="0" vertical="center"/>
    </xf>
    <xf borderId="5" fillId="0" fontId="1" numFmtId="0" xfId="0" applyAlignment="1" applyBorder="1" applyFont="1">
      <alignment horizontal="center" vertical="center"/>
    </xf>
    <xf borderId="5" fillId="0" fontId="4" numFmtId="164" xfId="0" applyAlignment="1" applyBorder="1" applyFont="1" applyNumberFormat="1">
      <alignment horizontal="center" vertical="center"/>
    </xf>
    <xf borderId="5" fillId="0" fontId="4" numFmtId="0" xfId="0" applyBorder="1" applyFont="1"/>
    <xf borderId="5" fillId="0" fontId="4" numFmtId="164" xfId="0" applyAlignment="1" applyBorder="1" applyFont="1" applyNumberFormat="1">
      <alignment vertical="center"/>
    </xf>
    <xf borderId="5" fillId="0" fontId="5" numFmtId="164" xfId="0" applyAlignment="1" applyBorder="1" applyFont="1" applyNumberFormat="1">
      <alignment horizontal="center" readingOrder="0" vertical="center"/>
    </xf>
    <xf borderId="6" fillId="0" fontId="3" numFmtId="0" xfId="0" applyBorder="1" applyFont="1"/>
    <xf borderId="4" fillId="0" fontId="4" numFmtId="0" xfId="0" applyAlignment="1" applyBorder="1" applyFont="1">
      <alignment horizontal="center" vertical="center"/>
    </xf>
    <xf borderId="5" fillId="0" fontId="5" numFmtId="164" xfId="0" applyAlignment="1" applyBorder="1" applyFont="1" applyNumberFormat="1">
      <alignment horizontal="center" vertical="center"/>
    </xf>
    <xf borderId="6" fillId="0" fontId="1" numFmtId="0" xfId="0" applyAlignment="1" applyBorder="1" applyFont="1">
      <alignment horizontal="center" shrinkToFit="0" vertical="center" wrapText="1"/>
    </xf>
    <xf borderId="5" fillId="0" fontId="1" numFmtId="0" xfId="0" applyAlignment="1" applyBorder="1" applyFont="1">
      <alignment horizontal="center" shrinkToFit="0" vertical="center" wrapText="1"/>
    </xf>
    <xf borderId="7" fillId="0" fontId="3" numFmtId="0" xfId="0" applyBorder="1" applyFont="1"/>
    <xf borderId="7" fillId="0" fontId="1" numFmtId="0" xfId="0" applyAlignment="1" applyBorder="1" applyFont="1">
      <alignment horizontal="center" vertical="center"/>
    </xf>
    <xf borderId="6" fillId="0" fontId="4" numFmtId="3" xfId="0" applyAlignment="1" applyBorder="1" applyFont="1" applyNumberFormat="1">
      <alignment horizontal="center" readingOrder="0" shrinkToFit="0" vertical="center" wrapText="1"/>
    </xf>
    <xf borderId="6" fillId="0" fontId="4" numFmtId="3" xfId="0" applyAlignment="1" applyBorder="1" applyFont="1" applyNumberFormat="1">
      <alignment horizontal="center" vertical="center"/>
    </xf>
    <xf borderId="6" fillId="0" fontId="4" numFmtId="3" xfId="0" applyAlignment="1" applyBorder="1" applyFont="1" applyNumberFormat="1">
      <alignment horizontal="center" readingOrder="0" vertical="center"/>
    </xf>
    <xf borderId="4" fillId="0" fontId="4" numFmtId="164" xfId="0" applyAlignment="1" applyBorder="1" applyFont="1" applyNumberFormat="1">
      <alignment horizontal="center" readingOrder="0" shrinkToFit="0" vertical="center" wrapText="1"/>
    </xf>
    <xf borderId="5" fillId="0" fontId="4" numFmtId="164" xfId="0" applyAlignment="1" applyBorder="1" applyFont="1" applyNumberFormat="1">
      <alignment horizontal="center" readingOrder="0" vertical="center"/>
    </xf>
    <xf borderId="6" fillId="0" fontId="1" numFmtId="0" xfId="0" applyAlignment="1" applyBorder="1" applyFont="1">
      <alignment horizontal="center" readingOrder="0" shrinkToFit="0" vertical="center" wrapText="1"/>
    </xf>
    <xf borderId="5" fillId="0" fontId="1" numFmtId="0" xfId="0" applyAlignment="1" applyBorder="1" applyFont="1">
      <alignment horizontal="center" readingOrder="0" vertical="center"/>
    </xf>
    <xf borderId="5" fillId="0" fontId="4" numFmtId="0" xfId="0" applyAlignment="1" applyBorder="1" applyFont="1">
      <alignment horizontal="center" readingOrder="0" vertical="center"/>
    </xf>
    <xf borderId="3" fillId="0" fontId="4" numFmtId="3" xfId="0" applyAlignment="1" applyBorder="1" applyFont="1" applyNumberFormat="1">
      <alignment horizontal="center" shrinkToFit="0" vertical="center" wrapText="1"/>
    </xf>
    <xf borderId="8" fillId="0" fontId="4" numFmtId="3" xfId="0" applyAlignment="1" applyBorder="1" applyFont="1" applyNumberFormat="1">
      <alignment horizontal="center" shrinkToFit="0" vertical="center" wrapText="1"/>
    </xf>
    <xf borderId="0" fillId="0" fontId="4" numFmtId="0" xfId="0" applyFont="1"/>
    <xf borderId="0" fillId="0" fontId="4" numFmtId="3" xfId="0" applyAlignment="1" applyFont="1" applyNumberFormat="1">
      <alignment horizontal="center"/>
    </xf>
    <xf borderId="4" fillId="0" fontId="1" numFmtId="164" xfId="0" applyAlignment="1" applyBorder="1" applyFont="1" applyNumberFormat="1">
      <alignment horizontal="center" vertical="center"/>
    </xf>
    <xf borderId="4" fillId="0" fontId="1" numFmtId="0" xfId="0" applyBorder="1" applyFont="1"/>
    <xf borderId="4" fillId="0" fontId="1" numFmtId="164" xfId="0" applyAlignment="1" applyBorder="1" applyFont="1" applyNumberFormat="1">
      <alignment vertical="center"/>
    </xf>
    <xf borderId="0" fillId="0" fontId="4" numFmtId="0" xfId="0" applyAlignment="1" applyFont="1">
      <alignment horizontal="center" vertical="center"/>
    </xf>
    <xf borderId="0" fillId="0" fontId="4" numFmtId="3" xfId="0" applyAlignment="1" applyFont="1" applyNumberFormat="1">
      <alignment horizontal="center" readingOrder="0"/>
    </xf>
    <xf borderId="0" fillId="0" fontId="4" numFmtId="0" xfId="0" applyAlignment="1" applyFont="1">
      <alignment vertical="center"/>
    </xf>
    <xf borderId="0" fillId="0" fontId="5" numFmtId="164" xfId="0" applyAlignment="1" applyFont="1" applyNumberFormat="1">
      <alignment horizontal="center"/>
    </xf>
    <xf borderId="0" fillId="0" fontId="4" numFmtId="164" xfId="0" applyFont="1" applyNumberFormat="1"/>
    <xf borderId="0" fillId="0" fontId="4" numFmtId="164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75"/>
  <cols>
    <col customWidth="1" min="1" max="1" width="8.38"/>
    <col customWidth="1" min="2" max="2" width="16.25"/>
    <col customWidth="1" min="3" max="3" width="25.75"/>
    <col customWidth="1" min="4" max="7" width="15.13"/>
    <col customWidth="1" min="8" max="8" width="22.88"/>
    <col customWidth="1" min="10" max="10" width="13.0"/>
    <col customWidth="1" min="13" max="15" width="15.25"/>
  </cols>
  <sheetData>
    <row r="1" ht="25.5" customHeight="1">
      <c r="A1" s="1"/>
      <c r="B1" s="2"/>
      <c r="C1" s="3"/>
      <c r="D1" s="4" t="s">
        <v>0</v>
      </c>
      <c r="E1" s="5"/>
      <c r="F1" s="5"/>
      <c r="G1" s="5"/>
      <c r="H1" s="6"/>
      <c r="I1" s="7" t="s">
        <v>1</v>
      </c>
      <c r="N1" s="7"/>
      <c r="O1" s="7"/>
    </row>
    <row r="2" ht="73.5" customHeight="1">
      <c r="A2" s="8" t="s">
        <v>2</v>
      </c>
      <c r="B2" s="9" t="s">
        <v>3</v>
      </c>
      <c r="C2" s="10" t="s">
        <v>4</v>
      </c>
      <c r="D2" s="11" t="s">
        <v>5</v>
      </c>
      <c r="E2" s="11" t="s">
        <v>6</v>
      </c>
      <c r="F2" s="12" t="s">
        <v>7</v>
      </c>
      <c r="G2" s="12" t="s">
        <v>8</v>
      </c>
      <c r="H2" s="13" t="s">
        <v>9</v>
      </c>
      <c r="I2" s="14" t="s">
        <v>10</v>
      </c>
      <c r="J2" s="15" t="s">
        <v>11</v>
      </c>
      <c r="K2" s="15" t="s">
        <v>12</v>
      </c>
      <c r="L2" s="10" t="s">
        <v>13</v>
      </c>
      <c r="M2" s="15" t="s">
        <v>14</v>
      </c>
      <c r="N2" s="15" t="s">
        <v>15</v>
      </c>
      <c r="O2" s="14" t="s">
        <v>16</v>
      </c>
    </row>
    <row r="3">
      <c r="A3" s="16">
        <v>1.0</v>
      </c>
      <c r="B3" s="16" t="s">
        <v>17</v>
      </c>
      <c r="C3" s="10" t="s">
        <v>18</v>
      </c>
      <c r="D3" s="17">
        <v>250.0</v>
      </c>
      <c r="E3" s="17">
        <f t="shared" ref="E3:E82" si="1">D3*4</f>
        <v>1000</v>
      </c>
      <c r="F3" s="17">
        <v>150.0</v>
      </c>
      <c r="G3" s="17">
        <f t="shared" ref="G3:G13" si="2">F3*4</f>
        <v>600</v>
      </c>
      <c r="H3" s="17">
        <f t="shared" ref="H3:H15" si="3">SUM(E3+G3)</f>
        <v>1600</v>
      </c>
      <c r="I3" s="18">
        <v>363.0</v>
      </c>
      <c r="J3" s="19">
        <f t="shared" ref="J3:J28" si="4">I3*H3</f>
        <v>580800</v>
      </c>
      <c r="K3" s="20"/>
      <c r="L3" s="21">
        <f t="shared" ref="L3:L46" si="5">J3*0.2</f>
        <v>116160</v>
      </c>
      <c r="M3" s="21">
        <f t="shared" ref="M3:M46" si="6">J3+L3</f>
        <v>696960</v>
      </c>
      <c r="N3" s="19">
        <f t="shared" ref="N3:N78" si="7">M3*2%</f>
        <v>13939.2</v>
      </c>
      <c r="O3" s="22">
        <v>77.0</v>
      </c>
    </row>
    <row r="4">
      <c r="A4" s="16">
        <f t="shared" ref="A4:A46" si="8">A3+1</f>
        <v>2</v>
      </c>
      <c r="B4" s="16" t="s">
        <v>17</v>
      </c>
      <c r="C4" s="10" t="s">
        <v>19</v>
      </c>
      <c r="D4" s="23">
        <v>400.0</v>
      </c>
      <c r="E4" s="17">
        <f t="shared" si="1"/>
        <v>1600</v>
      </c>
      <c r="F4" s="23">
        <v>350.0</v>
      </c>
      <c r="G4" s="23">
        <f t="shared" si="2"/>
        <v>1400</v>
      </c>
      <c r="H4" s="17">
        <f t="shared" si="3"/>
        <v>3000</v>
      </c>
      <c r="I4" s="18">
        <v>70.0</v>
      </c>
      <c r="J4" s="19">
        <f t="shared" si="4"/>
        <v>210000</v>
      </c>
      <c r="K4" s="20"/>
      <c r="L4" s="21">
        <f t="shared" si="5"/>
        <v>42000</v>
      </c>
      <c r="M4" s="21">
        <f t="shared" si="6"/>
        <v>252000</v>
      </c>
      <c r="N4" s="19">
        <f t="shared" si="7"/>
        <v>5040</v>
      </c>
      <c r="O4" s="22">
        <v>18.0</v>
      </c>
    </row>
    <row r="5">
      <c r="A5" s="16">
        <f t="shared" si="8"/>
        <v>3</v>
      </c>
      <c r="B5" s="16" t="s">
        <v>17</v>
      </c>
      <c r="C5" s="10" t="s">
        <v>20</v>
      </c>
      <c r="D5" s="24">
        <v>0.0</v>
      </c>
      <c r="E5" s="17">
        <f t="shared" si="1"/>
        <v>0</v>
      </c>
      <c r="F5" s="17">
        <v>200.0</v>
      </c>
      <c r="G5" s="17">
        <f t="shared" si="2"/>
        <v>800</v>
      </c>
      <c r="H5" s="17">
        <f t="shared" si="3"/>
        <v>800</v>
      </c>
      <c r="I5" s="18">
        <v>55.0</v>
      </c>
      <c r="J5" s="19">
        <f t="shared" si="4"/>
        <v>44000</v>
      </c>
      <c r="K5" s="20"/>
      <c r="L5" s="21">
        <f t="shared" si="5"/>
        <v>8800</v>
      </c>
      <c r="M5" s="21">
        <f t="shared" si="6"/>
        <v>52800</v>
      </c>
      <c r="N5" s="19">
        <f t="shared" si="7"/>
        <v>1056</v>
      </c>
      <c r="O5" s="22" t="s">
        <v>21</v>
      </c>
    </row>
    <row r="6">
      <c r="A6" s="16">
        <f t="shared" si="8"/>
        <v>4</v>
      </c>
      <c r="B6" s="16" t="s">
        <v>17</v>
      </c>
      <c r="C6" s="15" t="s">
        <v>22</v>
      </c>
      <c r="D6" s="17">
        <v>60.0</v>
      </c>
      <c r="E6" s="17">
        <f t="shared" si="1"/>
        <v>240</v>
      </c>
      <c r="F6" s="17">
        <v>60.0</v>
      </c>
      <c r="G6" s="17">
        <f t="shared" si="2"/>
        <v>240</v>
      </c>
      <c r="H6" s="17">
        <f t="shared" si="3"/>
        <v>480</v>
      </c>
      <c r="I6" s="18">
        <v>350.0</v>
      </c>
      <c r="J6" s="19">
        <f t="shared" si="4"/>
        <v>168000</v>
      </c>
      <c r="K6" s="20"/>
      <c r="L6" s="21">
        <f t="shared" si="5"/>
        <v>33600</v>
      </c>
      <c r="M6" s="21">
        <f t="shared" si="6"/>
        <v>201600</v>
      </c>
      <c r="N6" s="19">
        <f t="shared" si="7"/>
        <v>4032</v>
      </c>
      <c r="O6" s="22">
        <v>18.0</v>
      </c>
    </row>
    <row r="7">
      <c r="A7" s="16">
        <f t="shared" si="8"/>
        <v>5</v>
      </c>
      <c r="B7" s="16" t="s">
        <v>17</v>
      </c>
      <c r="C7" s="25" t="s">
        <v>23</v>
      </c>
      <c r="D7" s="17">
        <v>350.0</v>
      </c>
      <c r="E7" s="17">
        <f t="shared" si="1"/>
        <v>1400</v>
      </c>
      <c r="F7" s="17">
        <v>250.0</v>
      </c>
      <c r="G7" s="17">
        <f t="shared" si="2"/>
        <v>1000</v>
      </c>
      <c r="H7" s="17">
        <f t="shared" si="3"/>
        <v>2400</v>
      </c>
      <c r="I7" s="18">
        <v>45.1</v>
      </c>
      <c r="J7" s="19">
        <f t="shared" si="4"/>
        <v>108240</v>
      </c>
      <c r="K7" s="20"/>
      <c r="L7" s="21">
        <f t="shared" si="5"/>
        <v>21648</v>
      </c>
      <c r="M7" s="21">
        <f t="shared" si="6"/>
        <v>129888</v>
      </c>
      <c r="N7" s="19">
        <f t="shared" si="7"/>
        <v>2597.76</v>
      </c>
      <c r="O7" s="22" t="s">
        <v>21</v>
      </c>
    </row>
    <row r="8">
      <c r="A8" s="16">
        <f t="shared" si="8"/>
        <v>6</v>
      </c>
      <c r="B8" s="16" t="s">
        <v>17</v>
      </c>
      <c r="C8" s="10" t="s">
        <v>24</v>
      </c>
      <c r="D8" s="17">
        <v>200.0</v>
      </c>
      <c r="E8" s="17">
        <f t="shared" si="1"/>
        <v>800</v>
      </c>
      <c r="F8" s="17">
        <v>200.0</v>
      </c>
      <c r="G8" s="17">
        <f t="shared" si="2"/>
        <v>800</v>
      </c>
      <c r="H8" s="17">
        <f t="shared" si="3"/>
        <v>1600</v>
      </c>
      <c r="I8" s="18">
        <v>55.0</v>
      </c>
      <c r="J8" s="19">
        <f t="shared" si="4"/>
        <v>88000</v>
      </c>
      <c r="K8" s="20"/>
      <c r="L8" s="21">
        <f t="shared" si="5"/>
        <v>17600</v>
      </c>
      <c r="M8" s="21">
        <f t="shared" si="6"/>
        <v>105600</v>
      </c>
      <c r="N8" s="19">
        <f t="shared" si="7"/>
        <v>2112</v>
      </c>
      <c r="O8" s="22" t="s">
        <v>21</v>
      </c>
    </row>
    <row r="9">
      <c r="A9" s="16">
        <f t="shared" si="8"/>
        <v>7</v>
      </c>
      <c r="B9" s="16" t="s">
        <v>17</v>
      </c>
      <c r="C9" s="10" t="s">
        <v>25</v>
      </c>
      <c r="D9" s="17">
        <v>250.0</v>
      </c>
      <c r="E9" s="17">
        <f t="shared" si="1"/>
        <v>1000</v>
      </c>
      <c r="F9" s="17">
        <v>200.0</v>
      </c>
      <c r="G9" s="17">
        <f t="shared" si="2"/>
        <v>800</v>
      </c>
      <c r="H9" s="17">
        <f t="shared" si="3"/>
        <v>1800</v>
      </c>
      <c r="I9" s="18">
        <v>61.05</v>
      </c>
      <c r="J9" s="19">
        <f t="shared" si="4"/>
        <v>109890</v>
      </c>
      <c r="K9" s="20"/>
      <c r="L9" s="21">
        <f t="shared" si="5"/>
        <v>21978</v>
      </c>
      <c r="M9" s="21">
        <f t="shared" si="6"/>
        <v>131868</v>
      </c>
      <c r="N9" s="19">
        <f t="shared" si="7"/>
        <v>2637.36</v>
      </c>
      <c r="O9" s="22" t="s">
        <v>21</v>
      </c>
    </row>
    <row r="10">
      <c r="A10" s="16">
        <f t="shared" si="8"/>
        <v>8</v>
      </c>
      <c r="B10" s="16" t="s">
        <v>17</v>
      </c>
      <c r="C10" s="10" t="s">
        <v>26</v>
      </c>
      <c r="D10" s="23">
        <v>350.0</v>
      </c>
      <c r="E10" s="17">
        <f t="shared" si="1"/>
        <v>1400</v>
      </c>
      <c r="F10" s="17">
        <v>200.0</v>
      </c>
      <c r="G10" s="17">
        <f t="shared" si="2"/>
        <v>800</v>
      </c>
      <c r="H10" s="17">
        <f t="shared" si="3"/>
        <v>2200</v>
      </c>
      <c r="I10" s="18">
        <v>38.5</v>
      </c>
      <c r="J10" s="19">
        <f t="shared" si="4"/>
        <v>84700</v>
      </c>
      <c r="K10" s="20"/>
      <c r="L10" s="21">
        <f t="shared" si="5"/>
        <v>16940</v>
      </c>
      <c r="M10" s="21">
        <f t="shared" si="6"/>
        <v>101640</v>
      </c>
      <c r="N10" s="19">
        <f t="shared" si="7"/>
        <v>2032.8</v>
      </c>
      <c r="O10" s="22" t="s">
        <v>21</v>
      </c>
    </row>
    <row r="11" ht="58.5" customHeight="1">
      <c r="A11" s="16">
        <f t="shared" si="8"/>
        <v>9</v>
      </c>
      <c r="B11" s="26" t="s">
        <v>27</v>
      </c>
      <c r="C11" s="10" t="s">
        <v>28</v>
      </c>
      <c r="D11" s="24">
        <v>250.0</v>
      </c>
      <c r="E11" s="17">
        <f t="shared" si="1"/>
        <v>1000</v>
      </c>
      <c r="F11" s="17">
        <v>150.0</v>
      </c>
      <c r="G11" s="17">
        <f t="shared" si="2"/>
        <v>600</v>
      </c>
      <c r="H11" s="17">
        <f t="shared" si="3"/>
        <v>1600</v>
      </c>
      <c r="I11" s="18">
        <v>33.0</v>
      </c>
      <c r="J11" s="19">
        <f t="shared" si="4"/>
        <v>52800</v>
      </c>
      <c r="K11" s="18">
        <v>52800.0</v>
      </c>
      <c r="L11" s="21">
        <f t="shared" si="5"/>
        <v>10560</v>
      </c>
      <c r="M11" s="21">
        <f t="shared" si="6"/>
        <v>63360</v>
      </c>
      <c r="N11" s="19">
        <f t="shared" si="7"/>
        <v>1267.2</v>
      </c>
      <c r="O11" s="22" t="s">
        <v>21</v>
      </c>
    </row>
    <row r="12" ht="53.25" customHeight="1">
      <c r="A12" s="16">
        <f t="shared" si="8"/>
        <v>10</v>
      </c>
      <c r="B12" s="16" t="s">
        <v>29</v>
      </c>
      <c r="C12" s="10" t="s">
        <v>30</v>
      </c>
      <c r="D12" s="17">
        <v>50.0</v>
      </c>
      <c r="E12" s="17">
        <f t="shared" si="1"/>
        <v>200</v>
      </c>
      <c r="F12" s="17">
        <v>50.0</v>
      </c>
      <c r="G12" s="17">
        <f t="shared" si="2"/>
        <v>200</v>
      </c>
      <c r="H12" s="17">
        <f t="shared" si="3"/>
        <v>400</v>
      </c>
      <c r="I12" s="18">
        <v>30.0</v>
      </c>
      <c r="J12" s="19">
        <f t="shared" si="4"/>
        <v>12000</v>
      </c>
      <c r="K12" s="20"/>
      <c r="L12" s="21">
        <f t="shared" si="5"/>
        <v>2400</v>
      </c>
      <c r="M12" s="21">
        <f t="shared" si="6"/>
        <v>14400</v>
      </c>
      <c r="N12" s="19">
        <f t="shared" si="7"/>
        <v>288</v>
      </c>
      <c r="O12" s="22" t="s">
        <v>21</v>
      </c>
    </row>
    <row r="13">
      <c r="A13" s="16">
        <f t="shared" si="8"/>
        <v>11</v>
      </c>
      <c r="B13" s="16" t="s">
        <v>17</v>
      </c>
      <c r="C13" s="10" t="s">
        <v>31</v>
      </c>
      <c r="D13" s="17">
        <v>450.0</v>
      </c>
      <c r="E13" s="17">
        <f t="shared" si="1"/>
        <v>1800</v>
      </c>
      <c r="F13" s="17">
        <v>350.0</v>
      </c>
      <c r="G13" s="17">
        <f t="shared" si="2"/>
        <v>1400</v>
      </c>
      <c r="H13" s="17">
        <f t="shared" si="3"/>
        <v>3200</v>
      </c>
      <c r="I13" s="18">
        <v>28.0</v>
      </c>
      <c r="J13" s="19">
        <f t="shared" si="4"/>
        <v>89600</v>
      </c>
      <c r="K13" s="20"/>
      <c r="L13" s="21">
        <f t="shared" si="5"/>
        <v>17920</v>
      </c>
      <c r="M13" s="21">
        <f t="shared" si="6"/>
        <v>107520</v>
      </c>
      <c r="N13" s="19">
        <f t="shared" si="7"/>
        <v>2150.4</v>
      </c>
      <c r="O13" s="22" t="s">
        <v>21</v>
      </c>
    </row>
    <row r="14">
      <c r="A14" s="16">
        <f t="shared" si="8"/>
        <v>12</v>
      </c>
      <c r="B14" s="16" t="s">
        <v>29</v>
      </c>
      <c r="C14" s="10" t="s">
        <v>32</v>
      </c>
      <c r="D14" s="17">
        <v>450.0</v>
      </c>
      <c r="E14" s="17">
        <f t="shared" si="1"/>
        <v>1800</v>
      </c>
      <c r="F14" s="17">
        <v>0.0</v>
      </c>
      <c r="G14" s="24">
        <v>0.0</v>
      </c>
      <c r="H14" s="17">
        <f t="shared" si="3"/>
        <v>1800</v>
      </c>
      <c r="I14" s="18">
        <v>50.0</v>
      </c>
      <c r="J14" s="19">
        <f t="shared" si="4"/>
        <v>90000</v>
      </c>
      <c r="K14" s="20"/>
      <c r="L14" s="21">
        <f t="shared" si="5"/>
        <v>18000</v>
      </c>
      <c r="M14" s="21">
        <f t="shared" si="6"/>
        <v>108000</v>
      </c>
      <c r="N14" s="19">
        <f t="shared" si="7"/>
        <v>2160</v>
      </c>
      <c r="O14" s="22" t="s">
        <v>21</v>
      </c>
    </row>
    <row r="15" ht="71.25" customHeight="1">
      <c r="A15" s="16">
        <f t="shared" si="8"/>
        <v>13</v>
      </c>
      <c r="B15" s="16" t="s">
        <v>29</v>
      </c>
      <c r="C15" s="10" t="s">
        <v>33</v>
      </c>
      <c r="D15" s="23">
        <v>300.0</v>
      </c>
      <c r="E15" s="17">
        <f t="shared" si="1"/>
        <v>1200</v>
      </c>
      <c r="F15" s="17">
        <v>50.0</v>
      </c>
      <c r="G15" s="17">
        <f t="shared" ref="G15:G22" si="9">F15*4</f>
        <v>200</v>
      </c>
      <c r="H15" s="17">
        <f t="shared" si="3"/>
        <v>1400</v>
      </c>
      <c r="I15" s="18">
        <v>16.5</v>
      </c>
      <c r="J15" s="19">
        <f t="shared" si="4"/>
        <v>23100</v>
      </c>
      <c r="K15" s="20"/>
      <c r="L15" s="21">
        <f t="shared" si="5"/>
        <v>4620</v>
      </c>
      <c r="M15" s="21">
        <f t="shared" si="6"/>
        <v>27720</v>
      </c>
      <c r="N15" s="19">
        <f t="shared" si="7"/>
        <v>554.4</v>
      </c>
      <c r="O15" s="22" t="s">
        <v>21</v>
      </c>
    </row>
    <row r="16">
      <c r="A16" s="16">
        <f t="shared" si="8"/>
        <v>14</v>
      </c>
      <c r="B16" s="16" t="s">
        <v>17</v>
      </c>
      <c r="C16" s="10" t="s">
        <v>34</v>
      </c>
      <c r="D16" s="24">
        <v>400.0</v>
      </c>
      <c r="E16" s="17">
        <f t="shared" si="1"/>
        <v>1600</v>
      </c>
      <c r="F16" s="24">
        <v>200.0</v>
      </c>
      <c r="G16" s="24">
        <f t="shared" si="9"/>
        <v>800</v>
      </c>
      <c r="H16" s="17">
        <f>E16+G16</f>
        <v>2400</v>
      </c>
      <c r="I16" s="18">
        <v>52.8</v>
      </c>
      <c r="J16" s="19">
        <f t="shared" si="4"/>
        <v>126720</v>
      </c>
      <c r="K16" s="20"/>
      <c r="L16" s="21">
        <f t="shared" si="5"/>
        <v>25344</v>
      </c>
      <c r="M16" s="21">
        <f t="shared" si="6"/>
        <v>152064</v>
      </c>
      <c r="N16" s="19">
        <f t="shared" si="7"/>
        <v>3041.28</v>
      </c>
      <c r="O16" s="27">
        <v>18.0</v>
      </c>
    </row>
    <row r="17">
      <c r="A17" s="16">
        <f t="shared" si="8"/>
        <v>15</v>
      </c>
      <c r="B17" s="16" t="s">
        <v>17</v>
      </c>
      <c r="C17" s="15" t="s">
        <v>35</v>
      </c>
      <c r="D17" s="24">
        <v>350.0</v>
      </c>
      <c r="E17" s="17">
        <f t="shared" si="1"/>
        <v>1400</v>
      </c>
      <c r="F17" s="17">
        <v>140.0</v>
      </c>
      <c r="G17" s="17">
        <f t="shared" si="9"/>
        <v>560</v>
      </c>
      <c r="H17" s="17">
        <f t="shared" ref="H17:H82" si="10">SUM(E17+G17)</f>
        <v>1960</v>
      </c>
      <c r="I17" s="18">
        <v>45.1</v>
      </c>
      <c r="J17" s="19">
        <f t="shared" si="4"/>
        <v>88396</v>
      </c>
      <c r="K17" s="20"/>
      <c r="L17" s="21">
        <f t="shared" si="5"/>
        <v>17679.2</v>
      </c>
      <c r="M17" s="21">
        <f t="shared" si="6"/>
        <v>106075.2</v>
      </c>
      <c r="N17" s="19">
        <f t="shared" si="7"/>
        <v>2121.504</v>
      </c>
      <c r="O17" s="27" t="s">
        <v>21</v>
      </c>
    </row>
    <row r="18">
      <c r="A18" s="16">
        <f t="shared" si="8"/>
        <v>16</v>
      </c>
      <c r="B18" s="10" t="s">
        <v>36</v>
      </c>
      <c r="C18" s="10" t="s">
        <v>37</v>
      </c>
      <c r="D18" s="17">
        <v>80.0</v>
      </c>
      <c r="E18" s="17">
        <f t="shared" si="1"/>
        <v>320</v>
      </c>
      <c r="F18" s="17">
        <v>100.0</v>
      </c>
      <c r="G18" s="17">
        <f t="shared" si="9"/>
        <v>400</v>
      </c>
      <c r="H18" s="17">
        <f t="shared" si="10"/>
        <v>720</v>
      </c>
      <c r="I18" s="18">
        <v>121.0</v>
      </c>
      <c r="J18" s="19">
        <f t="shared" si="4"/>
        <v>87120</v>
      </c>
      <c r="K18" s="20"/>
      <c r="L18" s="21">
        <f t="shared" si="5"/>
        <v>17424</v>
      </c>
      <c r="M18" s="21">
        <f t="shared" si="6"/>
        <v>104544</v>
      </c>
      <c r="N18" s="19">
        <f t="shared" si="7"/>
        <v>2090.88</v>
      </c>
      <c r="O18" s="27" t="s">
        <v>21</v>
      </c>
    </row>
    <row r="19">
      <c r="A19" s="16">
        <f t="shared" si="8"/>
        <v>17</v>
      </c>
      <c r="B19" s="26" t="s">
        <v>38</v>
      </c>
      <c r="C19" s="25" t="s">
        <v>39</v>
      </c>
      <c r="D19" s="17">
        <v>350.0</v>
      </c>
      <c r="E19" s="17">
        <f t="shared" si="1"/>
        <v>1400</v>
      </c>
      <c r="F19" s="17">
        <v>200.0</v>
      </c>
      <c r="G19" s="17">
        <f t="shared" si="9"/>
        <v>800</v>
      </c>
      <c r="H19" s="17">
        <f t="shared" si="10"/>
        <v>2200</v>
      </c>
      <c r="I19" s="18">
        <v>165.0</v>
      </c>
      <c r="J19" s="19">
        <f t="shared" si="4"/>
        <v>363000</v>
      </c>
      <c r="K19" s="18">
        <v>363000.0</v>
      </c>
      <c r="L19" s="21">
        <f t="shared" si="5"/>
        <v>72600</v>
      </c>
      <c r="M19" s="21">
        <f t="shared" si="6"/>
        <v>435600</v>
      </c>
      <c r="N19" s="19">
        <f t="shared" si="7"/>
        <v>8712</v>
      </c>
      <c r="O19" s="27">
        <v>33.0</v>
      </c>
    </row>
    <row r="20">
      <c r="A20" s="16">
        <f t="shared" si="8"/>
        <v>18</v>
      </c>
      <c r="B20" s="16" t="s">
        <v>29</v>
      </c>
      <c r="C20" s="10" t="s">
        <v>40</v>
      </c>
      <c r="D20" s="17">
        <v>200.0</v>
      </c>
      <c r="E20" s="17">
        <f t="shared" si="1"/>
        <v>800</v>
      </c>
      <c r="F20" s="17">
        <v>200.0</v>
      </c>
      <c r="G20" s="17">
        <f t="shared" si="9"/>
        <v>800</v>
      </c>
      <c r="H20" s="17">
        <f t="shared" si="10"/>
        <v>1600</v>
      </c>
      <c r="I20" s="18">
        <v>100.0</v>
      </c>
      <c r="J20" s="19">
        <f t="shared" si="4"/>
        <v>160000</v>
      </c>
      <c r="K20" s="20"/>
      <c r="L20" s="21">
        <f t="shared" si="5"/>
        <v>32000</v>
      </c>
      <c r="M20" s="21">
        <f t="shared" si="6"/>
        <v>192000</v>
      </c>
      <c r="N20" s="19">
        <f t="shared" si="7"/>
        <v>3840</v>
      </c>
      <c r="O20" s="27">
        <v>18.0</v>
      </c>
    </row>
    <row r="21">
      <c r="A21" s="16">
        <f t="shared" si="8"/>
        <v>19</v>
      </c>
      <c r="B21" s="16" t="s">
        <v>29</v>
      </c>
      <c r="C21" s="10" t="s">
        <v>41</v>
      </c>
      <c r="D21" s="17">
        <v>200.0</v>
      </c>
      <c r="E21" s="17">
        <f t="shared" si="1"/>
        <v>800</v>
      </c>
      <c r="F21" s="17">
        <v>200.0</v>
      </c>
      <c r="G21" s="17">
        <f t="shared" si="9"/>
        <v>800</v>
      </c>
      <c r="H21" s="17">
        <f t="shared" si="10"/>
        <v>1600</v>
      </c>
      <c r="I21" s="18">
        <v>100.0</v>
      </c>
      <c r="J21" s="19">
        <f t="shared" si="4"/>
        <v>160000</v>
      </c>
      <c r="K21" s="20"/>
      <c r="L21" s="21">
        <f t="shared" si="5"/>
        <v>32000</v>
      </c>
      <c r="M21" s="21">
        <f t="shared" si="6"/>
        <v>192000</v>
      </c>
      <c r="N21" s="19">
        <f t="shared" si="7"/>
        <v>3840</v>
      </c>
      <c r="O21" s="27">
        <v>18.0</v>
      </c>
    </row>
    <row r="22">
      <c r="A22" s="16">
        <f t="shared" si="8"/>
        <v>20</v>
      </c>
      <c r="B22" s="16" t="s">
        <v>17</v>
      </c>
      <c r="C22" s="10" t="s">
        <v>42</v>
      </c>
      <c r="D22" s="17">
        <v>0.0</v>
      </c>
      <c r="E22" s="17">
        <f t="shared" si="1"/>
        <v>0</v>
      </c>
      <c r="F22" s="17">
        <v>350.0</v>
      </c>
      <c r="G22" s="17">
        <f t="shared" si="9"/>
        <v>1400</v>
      </c>
      <c r="H22" s="17">
        <f t="shared" si="10"/>
        <v>1400</v>
      </c>
      <c r="I22" s="18">
        <v>187.0</v>
      </c>
      <c r="J22" s="19">
        <f t="shared" si="4"/>
        <v>261800</v>
      </c>
      <c r="K22" s="20"/>
      <c r="L22" s="21">
        <f t="shared" si="5"/>
        <v>52360</v>
      </c>
      <c r="M22" s="21">
        <f t="shared" si="6"/>
        <v>314160</v>
      </c>
      <c r="N22" s="19">
        <f t="shared" si="7"/>
        <v>6283.2</v>
      </c>
      <c r="O22" s="27">
        <v>33.0</v>
      </c>
    </row>
    <row r="23">
      <c r="A23" s="16">
        <f t="shared" si="8"/>
        <v>21</v>
      </c>
      <c r="B23" s="16" t="s">
        <v>17</v>
      </c>
      <c r="C23" s="10" t="s">
        <v>43</v>
      </c>
      <c r="D23" s="17">
        <v>150.0</v>
      </c>
      <c r="E23" s="17">
        <f t="shared" si="1"/>
        <v>600</v>
      </c>
      <c r="F23" s="17">
        <v>0.0</v>
      </c>
      <c r="G23" s="17"/>
      <c r="H23" s="17">
        <f t="shared" si="10"/>
        <v>600</v>
      </c>
      <c r="I23" s="18">
        <v>230.0</v>
      </c>
      <c r="J23" s="19">
        <f t="shared" si="4"/>
        <v>138000</v>
      </c>
      <c r="K23" s="20"/>
      <c r="L23" s="21">
        <f t="shared" si="5"/>
        <v>27600</v>
      </c>
      <c r="M23" s="21">
        <f t="shared" si="6"/>
        <v>165600</v>
      </c>
      <c r="N23" s="19">
        <f t="shared" si="7"/>
        <v>3312</v>
      </c>
      <c r="O23" s="27">
        <v>18.0</v>
      </c>
    </row>
    <row r="24">
      <c r="A24" s="16">
        <f t="shared" si="8"/>
        <v>22</v>
      </c>
      <c r="B24" s="16" t="s">
        <v>17</v>
      </c>
      <c r="C24" s="10" t="s">
        <v>44</v>
      </c>
      <c r="D24" s="17">
        <v>0.0</v>
      </c>
      <c r="E24" s="17">
        <f t="shared" si="1"/>
        <v>0</v>
      </c>
      <c r="F24" s="17">
        <v>350.0</v>
      </c>
      <c r="G24" s="17">
        <f>F24*4</f>
        <v>1400</v>
      </c>
      <c r="H24" s="17">
        <f t="shared" si="10"/>
        <v>1400</v>
      </c>
      <c r="I24" s="18">
        <v>796.4</v>
      </c>
      <c r="J24" s="19">
        <f t="shared" si="4"/>
        <v>1114960</v>
      </c>
      <c r="K24" s="20"/>
      <c r="L24" s="21">
        <f t="shared" si="5"/>
        <v>222992</v>
      </c>
      <c r="M24" s="21">
        <f t="shared" si="6"/>
        <v>1337952</v>
      </c>
      <c r="N24" s="19">
        <f t="shared" si="7"/>
        <v>26759.04</v>
      </c>
      <c r="O24" s="27">
        <v>165.0</v>
      </c>
    </row>
    <row r="25">
      <c r="A25" s="16">
        <f t="shared" si="8"/>
        <v>23</v>
      </c>
      <c r="B25" s="16" t="s">
        <v>17</v>
      </c>
      <c r="C25" s="10" t="s">
        <v>45</v>
      </c>
      <c r="D25" s="17">
        <v>400.0</v>
      </c>
      <c r="E25" s="17">
        <f t="shared" si="1"/>
        <v>1600</v>
      </c>
      <c r="F25" s="17">
        <v>0.0</v>
      </c>
      <c r="G25" s="24">
        <v>0.0</v>
      </c>
      <c r="H25" s="17">
        <f t="shared" si="10"/>
        <v>1600</v>
      </c>
      <c r="I25" s="18">
        <v>600.0</v>
      </c>
      <c r="J25" s="19">
        <f t="shared" si="4"/>
        <v>960000</v>
      </c>
      <c r="K25" s="20"/>
      <c r="L25" s="21">
        <f t="shared" si="5"/>
        <v>192000</v>
      </c>
      <c r="M25" s="21">
        <f t="shared" si="6"/>
        <v>1152000</v>
      </c>
      <c r="N25" s="19">
        <f t="shared" si="7"/>
        <v>23040</v>
      </c>
      <c r="O25" s="27">
        <v>165.0</v>
      </c>
    </row>
    <row r="26">
      <c r="A26" s="16">
        <f t="shared" si="8"/>
        <v>24</v>
      </c>
      <c r="B26" s="16" t="s">
        <v>17</v>
      </c>
      <c r="C26" s="10" t="s">
        <v>46</v>
      </c>
      <c r="D26" s="17">
        <v>150.0</v>
      </c>
      <c r="E26" s="17">
        <f t="shared" si="1"/>
        <v>600</v>
      </c>
      <c r="F26" s="17">
        <v>200.0</v>
      </c>
      <c r="G26" s="17">
        <f t="shared" ref="G26:G31" si="11">F26*4</f>
        <v>800</v>
      </c>
      <c r="H26" s="17">
        <f t="shared" si="10"/>
        <v>1400</v>
      </c>
      <c r="I26" s="18">
        <v>658.9</v>
      </c>
      <c r="J26" s="19">
        <f t="shared" si="4"/>
        <v>922460</v>
      </c>
      <c r="K26" s="20"/>
      <c r="L26" s="21">
        <f t="shared" si="5"/>
        <v>184492</v>
      </c>
      <c r="M26" s="21">
        <f t="shared" si="6"/>
        <v>1106952</v>
      </c>
      <c r="N26" s="19">
        <f t="shared" si="7"/>
        <v>22139.04</v>
      </c>
      <c r="O26" s="27">
        <v>165.0</v>
      </c>
    </row>
    <row r="27">
      <c r="A27" s="16">
        <f t="shared" si="8"/>
        <v>25</v>
      </c>
      <c r="B27" s="16" t="s">
        <v>29</v>
      </c>
      <c r="C27" s="10" t="s">
        <v>47</v>
      </c>
      <c r="D27" s="17">
        <v>0.0</v>
      </c>
      <c r="E27" s="17">
        <f t="shared" si="1"/>
        <v>0</v>
      </c>
      <c r="F27" s="17">
        <v>50.0</v>
      </c>
      <c r="G27" s="17">
        <f t="shared" si="11"/>
        <v>200</v>
      </c>
      <c r="H27" s="17">
        <f t="shared" si="10"/>
        <v>200</v>
      </c>
      <c r="I27" s="18">
        <v>386.1</v>
      </c>
      <c r="J27" s="19">
        <f t="shared" si="4"/>
        <v>77220</v>
      </c>
      <c r="K27" s="20"/>
      <c r="L27" s="21">
        <f t="shared" si="5"/>
        <v>15444</v>
      </c>
      <c r="M27" s="21">
        <f t="shared" si="6"/>
        <v>92664</v>
      </c>
      <c r="N27" s="19">
        <f t="shared" si="7"/>
        <v>1853.28</v>
      </c>
      <c r="O27" s="27" t="s">
        <v>21</v>
      </c>
    </row>
    <row r="28">
      <c r="A28" s="16">
        <f t="shared" si="8"/>
        <v>26</v>
      </c>
      <c r="B28" s="16" t="s">
        <v>17</v>
      </c>
      <c r="C28" s="10" t="s">
        <v>48</v>
      </c>
      <c r="D28" s="17">
        <v>0.0</v>
      </c>
      <c r="E28" s="17">
        <f t="shared" si="1"/>
        <v>0</v>
      </c>
      <c r="F28" s="17">
        <v>200.0</v>
      </c>
      <c r="G28" s="17">
        <f t="shared" si="11"/>
        <v>800</v>
      </c>
      <c r="H28" s="17">
        <f t="shared" si="10"/>
        <v>800</v>
      </c>
      <c r="I28" s="18">
        <v>67.65</v>
      </c>
      <c r="J28" s="19">
        <f t="shared" si="4"/>
        <v>54120</v>
      </c>
      <c r="K28" s="20"/>
      <c r="L28" s="21">
        <f t="shared" si="5"/>
        <v>10824</v>
      </c>
      <c r="M28" s="21">
        <f t="shared" si="6"/>
        <v>64944</v>
      </c>
      <c r="N28" s="19">
        <f t="shared" si="7"/>
        <v>1298.88</v>
      </c>
      <c r="O28" s="27" t="s">
        <v>21</v>
      </c>
    </row>
    <row r="29">
      <c r="A29" s="16">
        <f t="shared" si="8"/>
        <v>27</v>
      </c>
      <c r="B29" s="16" t="s">
        <v>29</v>
      </c>
      <c r="C29" s="10" t="s">
        <v>49</v>
      </c>
      <c r="D29" s="17">
        <v>0.0</v>
      </c>
      <c r="E29" s="17">
        <f t="shared" si="1"/>
        <v>0</v>
      </c>
      <c r="F29" s="17">
        <v>350.0</v>
      </c>
      <c r="G29" s="17">
        <f t="shared" si="11"/>
        <v>1400</v>
      </c>
      <c r="H29" s="17">
        <f t="shared" si="10"/>
        <v>1400</v>
      </c>
      <c r="I29" s="18">
        <v>100.0</v>
      </c>
      <c r="J29" s="18">
        <f>H29*I29</f>
        <v>140000</v>
      </c>
      <c r="K29" s="20"/>
      <c r="L29" s="21">
        <f t="shared" si="5"/>
        <v>28000</v>
      </c>
      <c r="M29" s="21">
        <f t="shared" si="6"/>
        <v>168000</v>
      </c>
      <c r="N29" s="19">
        <f t="shared" si="7"/>
        <v>3360</v>
      </c>
      <c r="O29" s="27">
        <v>18.0</v>
      </c>
    </row>
    <row r="30">
      <c r="A30" s="16">
        <f t="shared" si="8"/>
        <v>28</v>
      </c>
      <c r="B30" s="16" t="s">
        <v>29</v>
      </c>
      <c r="C30" s="10" t="s">
        <v>50</v>
      </c>
      <c r="D30" s="17">
        <v>200.0</v>
      </c>
      <c r="E30" s="17">
        <f t="shared" si="1"/>
        <v>800</v>
      </c>
      <c r="F30" s="17">
        <v>100.0</v>
      </c>
      <c r="G30" s="17">
        <f t="shared" si="11"/>
        <v>400</v>
      </c>
      <c r="H30" s="17">
        <f t="shared" si="10"/>
        <v>1200</v>
      </c>
      <c r="I30" s="18">
        <v>120.0</v>
      </c>
      <c r="J30" s="19">
        <f t="shared" ref="J30:J45" si="12">I30*H30</f>
        <v>144000</v>
      </c>
      <c r="K30" s="20"/>
      <c r="L30" s="21">
        <f t="shared" si="5"/>
        <v>28800</v>
      </c>
      <c r="M30" s="21">
        <f t="shared" si="6"/>
        <v>172800</v>
      </c>
      <c r="N30" s="19">
        <f t="shared" si="7"/>
        <v>3456</v>
      </c>
      <c r="O30" s="27">
        <v>18.0</v>
      </c>
    </row>
    <row r="31">
      <c r="A31" s="16">
        <f t="shared" si="8"/>
        <v>29</v>
      </c>
      <c r="B31" s="16" t="s">
        <v>29</v>
      </c>
      <c r="C31" s="10" t="s">
        <v>51</v>
      </c>
      <c r="D31" s="17">
        <v>0.0</v>
      </c>
      <c r="E31" s="17">
        <f t="shared" si="1"/>
        <v>0</v>
      </c>
      <c r="F31" s="17">
        <v>640.0</v>
      </c>
      <c r="G31" s="17">
        <f t="shared" si="11"/>
        <v>2560</v>
      </c>
      <c r="H31" s="17">
        <f t="shared" si="10"/>
        <v>2560</v>
      </c>
      <c r="I31" s="18">
        <v>47.0</v>
      </c>
      <c r="J31" s="19">
        <f t="shared" si="12"/>
        <v>120320</v>
      </c>
      <c r="K31" s="20"/>
      <c r="L31" s="21">
        <f t="shared" si="5"/>
        <v>24064</v>
      </c>
      <c r="M31" s="21">
        <f t="shared" si="6"/>
        <v>144384</v>
      </c>
      <c r="N31" s="19">
        <f t="shared" si="7"/>
        <v>2887.68</v>
      </c>
      <c r="O31" s="27" t="s">
        <v>21</v>
      </c>
    </row>
    <row r="32">
      <c r="A32" s="16">
        <f t="shared" si="8"/>
        <v>30</v>
      </c>
      <c r="B32" s="16" t="s">
        <v>29</v>
      </c>
      <c r="C32" s="10" t="s">
        <v>52</v>
      </c>
      <c r="D32" s="17">
        <v>250.0</v>
      </c>
      <c r="E32" s="17">
        <f t="shared" si="1"/>
        <v>1000</v>
      </c>
      <c r="F32" s="17">
        <v>0.0</v>
      </c>
      <c r="G32" s="24">
        <v>0.0</v>
      </c>
      <c r="H32" s="17">
        <f t="shared" si="10"/>
        <v>1000</v>
      </c>
      <c r="I32" s="18">
        <v>121.0</v>
      </c>
      <c r="J32" s="19">
        <f t="shared" si="12"/>
        <v>121000</v>
      </c>
      <c r="K32" s="20"/>
      <c r="L32" s="21">
        <f t="shared" si="5"/>
        <v>24200</v>
      </c>
      <c r="M32" s="21">
        <f t="shared" si="6"/>
        <v>145200</v>
      </c>
      <c r="N32" s="19">
        <f t="shared" si="7"/>
        <v>2904</v>
      </c>
      <c r="O32" s="27" t="s">
        <v>21</v>
      </c>
    </row>
    <row r="33">
      <c r="A33" s="16">
        <f t="shared" si="8"/>
        <v>31</v>
      </c>
      <c r="B33" s="16" t="s">
        <v>29</v>
      </c>
      <c r="C33" s="10" t="s">
        <v>53</v>
      </c>
      <c r="D33" s="17">
        <v>150.0</v>
      </c>
      <c r="E33" s="17">
        <f t="shared" si="1"/>
        <v>600</v>
      </c>
      <c r="F33" s="17">
        <v>0.0</v>
      </c>
      <c r="G33" s="24">
        <v>0.0</v>
      </c>
      <c r="H33" s="17">
        <f t="shared" si="10"/>
        <v>600</v>
      </c>
      <c r="I33" s="18">
        <v>65.0</v>
      </c>
      <c r="J33" s="19">
        <f t="shared" si="12"/>
        <v>39000</v>
      </c>
      <c r="K33" s="20"/>
      <c r="L33" s="21">
        <f t="shared" si="5"/>
        <v>7800</v>
      </c>
      <c r="M33" s="21">
        <f t="shared" si="6"/>
        <v>46800</v>
      </c>
      <c r="N33" s="19">
        <f t="shared" si="7"/>
        <v>936</v>
      </c>
      <c r="O33" s="27" t="s">
        <v>21</v>
      </c>
    </row>
    <row r="34">
      <c r="A34" s="16">
        <f t="shared" si="8"/>
        <v>32</v>
      </c>
      <c r="B34" s="16" t="s">
        <v>29</v>
      </c>
      <c r="C34" s="10" t="s">
        <v>54</v>
      </c>
      <c r="D34" s="17">
        <v>450.0</v>
      </c>
      <c r="E34" s="17">
        <f t="shared" si="1"/>
        <v>1800</v>
      </c>
      <c r="F34" s="17">
        <v>100.0</v>
      </c>
      <c r="G34" s="17">
        <f t="shared" ref="G34:G36" si="13">F34*4</f>
        <v>400</v>
      </c>
      <c r="H34" s="17">
        <f t="shared" si="10"/>
        <v>2200</v>
      </c>
      <c r="I34" s="18">
        <v>35.0</v>
      </c>
      <c r="J34" s="19">
        <f t="shared" si="12"/>
        <v>77000</v>
      </c>
      <c r="K34" s="20"/>
      <c r="L34" s="21">
        <f t="shared" si="5"/>
        <v>15400</v>
      </c>
      <c r="M34" s="21">
        <f t="shared" si="6"/>
        <v>92400</v>
      </c>
      <c r="N34" s="19">
        <f t="shared" si="7"/>
        <v>1848</v>
      </c>
      <c r="O34" s="27" t="s">
        <v>21</v>
      </c>
    </row>
    <row r="35">
      <c r="A35" s="16">
        <f t="shared" si="8"/>
        <v>33</v>
      </c>
      <c r="B35" s="16" t="s">
        <v>29</v>
      </c>
      <c r="C35" s="10" t="s">
        <v>55</v>
      </c>
      <c r="D35" s="17">
        <v>0.0</v>
      </c>
      <c r="E35" s="17">
        <f t="shared" si="1"/>
        <v>0</v>
      </c>
      <c r="F35" s="17">
        <v>100.0</v>
      </c>
      <c r="G35" s="17">
        <f t="shared" si="13"/>
        <v>400</v>
      </c>
      <c r="H35" s="17">
        <f t="shared" si="10"/>
        <v>400</v>
      </c>
      <c r="I35" s="18">
        <v>25.0</v>
      </c>
      <c r="J35" s="19">
        <f t="shared" si="12"/>
        <v>10000</v>
      </c>
      <c r="K35" s="20"/>
      <c r="L35" s="21">
        <f t="shared" si="5"/>
        <v>2000</v>
      </c>
      <c r="M35" s="21">
        <f t="shared" si="6"/>
        <v>12000</v>
      </c>
      <c r="N35" s="19">
        <f t="shared" si="7"/>
        <v>240</v>
      </c>
      <c r="O35" s="27" t="s">
        <v>21</v>
      </c>
    </row>
    <row r="36">
      <c r="A36" s="16">
        <f t="shared" si="8"/>
        <v>34</v>
      </c>
      <c r="B36" s="16" t="s">
        <v>29</v>
      </c>
      <c r="C36" s="10" t="str">
        <f>UPPER("Catetere arterioso per tecnica Seldinger lunghezze varie ")</f>
        <v>CATETERE ARTERIOSO PER TECNICA SELDINGER LUNGHEZZE VARIE </v>
      </c>
      <c r="D36" s="17">
        <v>400.0</v>
      </c>
      <c r="E36" s="17">
        <f t="shared" si="1"/>
        <v>1600</v>
      </c>
      <c r="F36" s="17">
        <v>200.0</v>
      </c>
      <c r="G36" s="17">
        <f t="shared" si="13"/>
        <v>800</v>
      </c>
      <c r="H36" s="17">
        <f t="shared" si="10"/>
        <v>2400</v>
      </c>
      <c r="I36" s="18">
        <v>45.0</v>
      </c>
      <c r="J36" s="19">
        <f t="shared" si="12"/>
        <v>108000</v>
      </c>
      <c r="K36" s="20"/>
      <c r="L36" s="21">
        <f t="shared" si="5"/>
        <v>21600</v>
      </c>
      <c r="M36" s="21">
        <f t="shared" si="6"/>
        <v>129600</v>
      </c>
      <c r="N36" s="19">
        <f t="shared" si="7"/>
        <v>2592</v>
      </c>
      <c r="O36" s="27" t="s">
        <v>21</v>
      </c>
    </row>
    <row r="37">
      <c r="A37" s="16">
        <f t="shared" si="8"/>
        <v>35</v>
      </c>
      <c r="B37" s="16" t="s">
        <v>29</v>
      </c>
      <c r="C37" s="10" t="str">
        <f>UPPER("Catetere di Swan Ganz fibre ottiche")</f>
        <v>CATETERE DI SWAN GANZ FIBRE OTTICHE</v>
      </c>
      <c r="D37" s="17">
        <v>15.0</v>
      </c>
      <c r="E37" s="17">
        <f t="shared" si="1"/>
        <v>60</v>
      </c>
      <c r="F37" s="17">
        <v>0.0</v>
      </c>
      <c r="G37" s="24">
        <v>0.0</v>
      </c>
      <c r="H37" s="17">
        <f t="shared" si="10"/>
        <v>60</v>
      </c>
      <c r="I37" s="18">
        <v>418.0</v>
      </c>
      <c r="J37" s="19">
        <f t="shared" si="12"/>
        <v>25080</v>
      </c>
      <c r="K37" s="20"/>
      <c r="L37" s="21">
        <f t="shared" si="5"/>
        <v>5016</v>
      </c>
      <c r="M37" s="21">
        <f t="shared" si="6"/>
        <v>30096</v>
      </c>
      <c r="N37" s="19">
        <f t="shared" si="7"/>
        <v>601.92</v>
      </c>
      <c r="O37" s="27" t="s">
        <v>21</v>
      </c>
    </row>
    <row r="38">
      <c r="A38" s="16">
        <f t="shared" si="8"/>
        <v>36</v>
      </c>
      <c r="B38" s="16" t="s">
        <v>17</v>
      </c>
      <c r="C38" s="10" t="str">
        <f>UPPER("Catetere Swan Ganz termodiluizione")</f>
        <v>CATETERE SWAN GANZ TERMODILUIZIONE</v>
      </c>
      <c r="D38" s="17">
        <v>400.0</v>
      </c>
      <c r="E38" s="17">
        <f t="shared" si="1"/>
        <v>1600</v>
      </c>
      <c r="F38" s="17">
        <v>20.0</v>
      </c>
      <c r="G38" s="17">
        <f t="shared" ref="G38:G43" si="14">F38*4</f>
        <v>80</v>
      </c>
      <c r="H38" s="17">
        <f t="shared" si="10"/>
        <v>1680</v>
      </c>
      <c r="I38" s="18">
        <v>80.0</v>
      </c>
      <c r="J38" s="19">
        <f t="shared" si="12"/>
        <v>134400</v>
      </c>
      <c r="K38" s="20"/>
      <c r="L38" s="21">
        <f t="shared" si="5"/>
        <v>26880</v>
      </c>
      <c r="M38" s="21">
        <f t="shared" si="6"/>
        <v>161280</v>
      </c>
      <c r="N38" s="19">
        <f t="shared" si="7"/>
        <v>3225.6</v>
      </c>
      <c r="O38" s="27">
        <v>18.0</v>
      </c>
    </row>
    <row r="39">
      <c r="A39" s="16">
        <f t="shared" si="8"/>
        <v>37</v>
      </c>
      <c r="B39" s="16" t="s">
        <v>17</v>
      </c>
      <c r="C39" s="25" t="s">
        <v>56</v>
      </c>
      <c r="D39" s="17">
        <v>400.0</v>
      </c>
      <c r="E39" s="17">
        <f t="shared" si="1"/>
        <v>1600</v>
      </c>
      <c r="F39" s="17">
        <v>100.0</v>
      </c>
      <c r="G39" s="17">
        <f t="shared" si="14"/>
        <v>400</v>
      </c>
      <c r="H39" s="17">
        <f t="shared" si="10"/>
        <v>2000</v>
      </c>
      <c r="I39" s="18">
        <v>80.0</v>
      </c>
      <c r="J39" s="19">
        <f t="shared" si="12"/>
        <v>160000</v>
      </c>
      <c r="K39" s="20"/>
      <c r="L39" s="21">
        <f t="shared" si="5"/>
        <v>32000</v>
      </c>
      <c r="M39" s="21">
        <f t="shared" si="6"/>
        <v>192000</v>
      </c>
      <c r="N39" s="19">
        <f t="shared" si="7"/>
        <v>3840</v>
      </c>
      <c r="O39" s="27">
        <v>18.0</v>
      </c>
    </row>
    <row r="40">
      <c r="A40" s="16">
        <f t="shared" si="8"/>
        <v>38</v>
      </c>
      <c r="B40" s="16" t="s">
        <v>29</v>
      </c>
      <c r="C40" s="10" t="str">
        <f>UPPER("Catetere transuretrale per monitoraggio della temperatura corporea")</f>
        <v>CATETERE TRANSURETRALE PER MONITORAGGIO DELLA TEMPERATURA CORPOREA</v>
      </c>
      <c r="D40" s="17">
        <v>90.0</v>
      </c>
      <c r="E40" s="17">
        <f t="shared" si="1"/>
        <v>360</v>
      </c>
      <c r="F40" s="17">
        <v>50.0</v>
      </c>
      <c r="G40" s="17">
        <f t="shared" si="14"/>
        <v>200</v>
      </c>
      <c r="H40" s="17">
        <f t="shared" si="10"/>
        <v>560</v>
      </c>
      <c r="I40" s="18">
        <v>15.4</v>
      </c>
      <c r="J40" s="19">
        <f t="shared" si="12"/>
        <v>8624</v>
      </c>
      <c r="K40" s="20"/>
      <c r="L40" s="21">
        <f t="shared" si="5"/>
        <v>1724.8</v>
      </c>
      <c r="M40" s="21">
        <f t="shared" si="6"/>
        <v>10348.8</v>
      </c>
      <c r="N40" s="19">
        <f t="shared" si="7"/>
        <v>206.976</v>
      </c>
      <c r="O40" s="27" t="s">
        <v>21</v>
      </c>
    </row>
    <row r="41">
      <c r="A41" s="16">
        <f t="shared" si="8"/>
        <v>39</v>
      </c>
      <c r="B41" s="16" t="s">
        <v>17</v>
      </c>
      <c r="C41" s="10" t="s">
        <v>57</v>
      </c>
      <c r="D41" s="17">
        <v>250.0</v>
      </c>
      <c r="E41" s="17">
        <f t="shared" si="1"/>
        <v>1000</v>
      </c>
      <c r="F41" s="24">
        <v>250.0</v>
      </c>
      <c r="G41" s="17">
        <f t="shared" si="14"/>
        <v>1000</v>
      </c>
      <c r="H41" s="17">
        <f t="shared" si="10"/>
        <v>2000</v>
      </c>
      <c r="I41" s="18">
        <v>550.0</v>
      </c>
      <c r="J41" s="19">
        <f t="shared" si="12"/>
        <v>1100000</v>
      </c>
      <c r="K41" s="20"/>
      <c r="L41" s="21">
        <f t="shared" si="5"/>
        <v>220000</v>
      </c>
      <c r="M41" s="21">
        <f t="shared" si="6"/>
        <v>1320000</v>
      </c>
      <c r="N41" s="19">
        <f t="shared" si="7"/>
        <v>26400</v>
      </c>
      <c r="O41" s="27">
        <v>165.0</v>
      </c>
    </row>
    <row r="42">
      <c r="A42" s="16">
        <f t="shared" si="8"/>
        <v>40</v>
      </c>
      <c r="B42" s="16" t="s">
        <v>17</v>
      </c>
      <c r="C42" s="10" t="s">
        <v>58</v>
      </c>
      <c r="D42" s="17">
        <v>250.0</v>
      </c>
      <c r="E42" s="17">
        <f t="shared" si="1"/>
        <v>1000</v>
      </c>
      <c r="F42" s="17">
        <v>200.0</v>
      </c>
      <c r="G42" s="17">
        <f t="shared" si="14"/>
        <v>800</v>
      </c>
      <c r="H42" s="17">
        <f t="shared" si="10"/>
        <v>1800</v>
      </c>
      <c r="I42" s="18">
        <v>73.7</v>
      </c>
      <c r="J42" s="19">
        <f t="shared" si="12"/>
        <v>132660</v>
      </c>
      <c r="K42" s="20"/>
      <c r="L42" s="21">
        <f t="shared" si="5"/>
        <v>26532</v>
      </c>
      <c r="M42" s="21">
        <f t="shared" si="6"/>
        <v>159192</v>
      </c>
      <c r="N42" s="19">
        <f t="shared" si="7"/>
        <v>3183.84</v>
      </c>
      <c r="O42" s="27">
        <v>18.0</v>
      </c>
    </row>
    <row r="43">
      <c r="A43" s="16">
        <f t="shared" si="8"/>
        <v>41</v>
      </c>
      <c r="B43" s="16" t="s">
        <v>29</v>
      </c>
      <c r="C43" s="10" t="s">
        <v>59</v>
      </c>
      <c r="D43" s="17">
        <v>250.0</v>
      </c>
      <c r="E43" s="17">
        <f t="shared" si="1"/>
        <v>1000</v>
      </c>
      <c r="F43" s="17">
        <v>150.0</v>
      </c>
      <c r="G43" s="17">
        <f t="shared" si="14"/>
        <v>600</v>
      </c>
      <c r="H43" s="17">
        <f t="shared" si="10"/>
        <v>1600</v>
      </c>
      <c r="I43" s="18">
        <v>30.0</v>
      </c>
      <c r="J43" s="19">
        <f t="shared" si="12"/>
        <v>48000</v>
      </c>
      <c r="K43" s="20"/>
      <c r="L43" s="21">
        <f t="shared" si="5"/>
        <v>9600</v>
      </c>
      <c r="M43" s="21">
        <f t="shared" si="6"/>
        <v>57600</v>
      </c>
      <c r="N43" s="19">
        <f t="shared" si="7"/>
        <v>1152</v>
      </c>
      <c r="O43" s="27" t="s">
        <v>21</v>
      </c>
    </row>
    <row r="44">
      <c r="A44" s="16">
        <f t="shared" si="8"/>
        <v>42</v>
      </c>
      <c r="B44" s="16" t="s">
        <v>29</v>
      </c>
      <c r="C44" s="10" t="str">
        <f>UPPER("Dispositivi monouso di ancoraggio cannule ecmo o drenaggi chirurgici, varie misure")</f>
        <v>DISPOSITIVI MONOUSO DI ANCORAGGIO CANNULE ECMO O DRENAGGI CHIRURGICI, VARIE MISURE</v>
      </c>
      <c r="D44" s="17">
        <v>50.0</v>
      </c>
      <c r="E44" s="17">
        <f t="shared" si="1"/>
        <v>200</v>
      </c>
      <c r="F44" s="17">
        <v>0.0</v>
      </c>
      <c r="G44" s="24">
        <v>0.0</v>
      </c>
      <c r="H44" s="17">
        <f t="shared" si="10"/>
        <v>200</v>
      </c>
      <c r="I44" s="18">
        <v>11.55</v>
      </c>
      <c r="J44" s="19">
        <f t="shared" si="12"/>
        <v>2310</v>
      </c>
      <c r="K44" s="20"/>
      <c r="L44" s="21">
        <f t="shared" si="5"/>
        <v>462</v>
      </c>
      <c r="M44" s="21">
        <f t="shared" si="6"/>
        <v>2772</v>
      </c>
      <c r="N44" s="19">
        <f t="shared" si="7"/>
        <v>55.44</v>
      </c>
      <c r="O44" s="27" t="s">
        <v>21</v>
      </c>
    </row>
    <row r="45">
      <c r="A45" s="16">
        <f t="shared" si="8"/>
        <v>43</v>
      </c>
      <c r="B45" s="16" t="s">
        <v>29</v>
      </c>
      <c r="C45" s="25" t="str">
        <f>UPPER("Supporto pieghevole per stabilizzazione del braccio nel monitoraggio arterioso cruento continuo")</f>
        <v>SUPPORTO PIEGHEVOLE PER STABILIZZAZIONE DEL BRACCIO NEL MONITORAGGIO ARTERIOSO CRUENTO CONTINUO</v>
      </c>
      <c r="D45" s="17">
        <v>400.0</v>
      </c>
      <c r="E45" s="17">
        <f t="shared" si="1"/>
        <v>1600</v>
      </c>
      <c r="F45" s="17">
        <v>0.0</v>
      </c>
      <c r="G45" s="24">
        <v>0.0</v>
      </c>
      <c r="H45" s="17">
        <f t="shared" si="10"/>
        <v>1600</v>
      </c>
      <c r="I45" s="18">
        <v>11.0</v>
      </c>
      <c r="J45" s="19">
        <f t="shared" si="12"/>
        <v>17600</v>
      </c>
      <c r="K45" s="20"/>
      <c r="L45" s="21">
        <f t="shared" si="5"/>
        <v>3520</v>
      </c>
      <c r="M45" s="21">
        <f t="shared" si="6"/>
        <v>21120</v>
      </c>
      <c r="N45" s="19">
        <f t="shared" si="7"/>
        <v>422.4</v>
      </c>
      <c r="O45" s="27" t="s">
        <v>21</v>
      </c>
    </row>
    <row r="46" ht="51.0" customHeight="1">
      <c r="A46" s="28">
        <f t="shared" si="8"/>
        <v>44</v>
      </c>
      <c r="B46" s="28" t="s">
        <v>17</v>
      </c>
      <c r="C46" s="10" t="s">
        <v>60</v>
      </c>
      <c r="D46" s="17">
        <v>6.0</v>
      </c>
      <c r="E46" s="17">
        <f t="shared" si="1"/>
        <v>24</v>
      </c>
      <c r="F46" s="17">
        <v>0.0</v>
      </c>
      <c r="G46" s="24">
        <v>0.0</v>
      </c>
      <c r="H46" s="17">
        <f t="shared" si="10"/>
        <v>24</v>
      </c>
      <c r="I46" s="18">
        <v>200.0</v>
      </c>
      <c r="J46" s="29">
        <f>(I46*H46)+(I47*H47)</f>
        <v>101600</v>
      </c>
      <c r="K46" s="30"/>
      <c r="L46" s="31">
        <f t="shared" si="5"/>
        <v>20320</v>
      </c>
      <c r="M46" s="31">
        <f t="shared" si="6"/>
        <v>121920</v>
      </c>
      <c r="N46" s="19">
        <f t="shared" si="7"/>
        <v>2438.4</v>
      </c>
      <c r="O46" s="32" t="s">
        <v>21</v>
      </c>
    </row>
    <row r="47">
      <c r="A47" s="33"/>
      <c r="B47" s="33"/>
      <c r="C47" s="10" t="s">
        <v>61</v>
      </c>
      <c r="D47" s="17">
        <v>20000.0</v>
      </c>
      <c r="E47" s="17">
        <f t="shared" si="1"/>
        <v>80000</v>
      </c>
      <c r="F47" s="17">
        <v>0.0</v>
      </c>
      <c r="G47" s="24">
        <v>0.0</v>
      </c>
      <c r="H47" s="17">
        <f t="shared" si="10"/>
        <v>80000</v>
      </c>
      <c r="I47" s="18">
        <v>1.21</v>
      </c>
      <c r="J47" s="33"/>
      <c r="K47" s="33"/>
      <c r="L47" s="33"/>
      <c r="M47" s="33"/>
      <c r="N47" s="34">
        <f t="shared" si="7"/>
        <v>0</v>
      </c>
      <c r="O47" s="33"/>
    </row>
    <row r="48">
      <c r="A48" s="16">
        <f>A46+1</f>
        <v>45</v>
      </c>
      <c r="B48" s="16" t="s">
        <v>17</v>
      </c>
      <c r="C48" s="10" t="str">
        <f>UPPER("Cauterio alta temperatura")</f>
        <v>CAUTERIO ALTA TEMPERATURA</v>
      </c>
      <c r="D48" s="17">
        <v>60.0</v>
      </c>
      <c r="E48" s="17">
        <f t="shared" si="1"/>
        <v>240</v>
      </c>
      <c r="F48" s="17">
        <v>150.0</v>
      </c>
      <c r="G48" s="17">
        <f t="shared" ref="G48:G54" si="15">F48*4</f>
        <v>600</v>
      </c>
      <c r="H48" s="17">
        <f t="shared" si="10"/>
        <v>840</v>
      </c>
      <c r="I48" s="18">
        <v>15.0</v>
      </c>
      <c r="J48" s="18">
        <f>H48*I48</f>
        <v>12600</v>
      </c>
      <c r="K48" s="20"/>
      <c r="L48" s="21">
        <f t="shared" ref="L48:L78" si="16">J48*0.2</f>
        <v>2520</v>
      </c>
      <c r="M48" s="21">
        <f t="shared" ref="M48:M78" si="17">J48+L48</f>
        <v>15120</v>
      </c>
      <c r="N48" s="19">
        <f t="shared" si="7"/>
        <v>302.4</v>
      </c>
      <c r="O48" s="22" t="s">
        <v>21</v>
      </c>
    </row>
    <row r="49">
      <c r="A49" s="16">
        <f t="shared" ref="A49:A78" si="18">A48+1</f>
        <v>46</v>
      </c>
      <c r="B49" s="16" t="s">
        <v>29</v>
      </c>
      <c r="C49" s="10" t="s">
        <v>62</v>
      </c>
      <c r="D49" s="17">
        <v>100.0</v>
      </c>
      <c r="E49" s="17">
        <f t="shared" si="1"/>
        <v>400</v>
      </c>
      <c r="F49" s="17">
        <v>20.0</v>
      </c>
      <c r="G49" s="17">
        <f t="shared" si="15"/>
        <v>80</v>
      </c>
      <c r="H49" s="17">
        <f t="shared" si="10"/>
        <v>480</v>
      </c>
      <c r="I49" s="18">
        <v>390.5</v>
      </c>
      <c r="J49" s="19">
        <f t="shared" ref="J49:J58" si="19">I49*H49</f>
        <v>187440</v>
      </c>
      <c r="K49" s="20"/>
      <c r="L49" s="21">
        <f t="shared" si="16"/>
        <v>37488</v>
      </c>
      <c r="M49" s="21">
        <f t="shared" si="17"/>
        <v>224928</v>
      </c>
      <c r="N49" s="19">
        <f t="shared" si="7"/>
        <v>4498.56</v>
      </c>
      <c r="O49" s="22">
        <v>18.0</v>
      </c>
    </row>
    <row r="50">
      <c r="A50" s="16">
        <f t="shared" si="18"/>
        <v>47</v>
      </c>
      <c r="B50" s="16" t="s">
        <v>29</v>
      </c>
      <c r="C50" s="10" t="s">
        <v>63</v>
      </c>
      <c r="D50" s="17">
        <v>70.0</v>
      </c>
      <c r="E50" s="17">
        <f t="shared" si="1"/>
        <v>280</v>
      </c>
      <c r="F50" s="17">
        <v>20.0</v>
      </c>
      <c r="G50" s="17">
        <f t="shared" si="15"/>
        <v>80</v>
      </c>
      <c r="H50" s="17">
        <f t="shared" si="10"/>
        <v>360</v>
      </c>
      <c r="I50" s="18">
        <v>330.0</v>
      </c>
      <c r="J50" s="19">
        <f t="shared" si="19"/>
        <v>118800</v>
      </c>
      <c r="K50" s="20"/>
      <c r="L50" s="21">
        <f t="shared" si="16"/>
        <v>23760</v>
      </c>
      <c r="M50" s="21">
        <f t="shared" si="17"/>
        <v>142560</v>
      </c>
      <c r="N50" s="19">
        <f t="shared" si="7"/>
        <v>2851.2</v>
      </c>
      <c r="O50" s="22" t="s">
        <v>21</v>
      </c>
    </row>
    <row r="51">
      <c r="A51" s="16">
        <f t="shared" si="18"/>
        <v>48</v>
      </c>
      <c r="B51" s="16" t="s">
        <v>29</v>
      </c>
      <c r="C51" s="10" t="s">
        <v>64</v>
      </c>
      <c r="D51" s="24">
        <v>0.0</v>
      </c>
      <c r="E51" s="17">
        <f t="shared" si="1"/>
        <v>0</v>
      </c>
      <c r="F51" s="17">
        <v>20.0</v>
      </c>
      <c r="G51" s="17">
        <f t="shared" si="15"/>
        <v>80</v>
      </c>
      <c r="H51" s="17">
        <f t="shared" si="10"/>
        <v>80</v>
      </c>
      <c r="I51" s="18">
        <v>451.0</v>
      </c>
      <c r="J51" s="19">
        <f t="shared" si="19"/>
        <v>36080</v>
      </c>
      <c r="K51" s="20"/>
      <c r="L51" s="21">
        <f t="shared" si="16"/>
        <v>7216</v>
      </c>
      <c r="M51" s="21">
        <f t="shared" si="17"/>
        <v>43296</v>
      </c>
      <c r="N51" s="19">
        <f t="shared" si="7"/>
        <v>865.92</v>
      </c>
      <c r="O51" s="22" t="s">
        <v>21</v>
      </c>
    </row>
    <row r="52">
      <c r="A52" s="16">
        <f t="shared" si="18"/>
        <v>49</v>
      </c>
      <c r="B52" s="16" t="s">
        <v>17</v>
      </c>
      <c r="C52" s="10" t="str">
        <f>UPPER("Morsetto bulldog")</f>
        <v>MORSETTO BULLDOG</v>
      </c>
      <c r="D52" s="17">
        <v>600.0</v>
      </c>
      <c r="E52" s="17">
        <f t="shared" si="1"/>
        <v>2400</v>
      </c>
      <c r="F52" s="17">
        <v>50.0</v>
      </c>
      <c r="G52" s="17">
        <f t="shared" si="15"/>
        <v>200</v>
      </c>
      <c r="H52" s="17">
        <f t="shared" si="10"/>
        <v>2600</v>
      </c>
      <c r="I52" s="18">
        <v>41.8</v>
      </c>
      <c r="J52" s="19">
        <f t="shared" si="19"/>
        <v>108680</v>
      </c>
      <c r="K52" s="20"/>
      <c r="L52" s="21">
        <f t="shared" si="16"/>
        <v>21736</v>
      </c>
      <c r="M52" s="21">
        <f t="shared" si="17"/>
        <v>130416</v>
      </c>
      <c r="N52" s="19">
        <f t="shared" si="7"/>
        <v>2608.32</v>
      </c>
      <c r="O52" s="22" t="s">
        <v>21</v>
      </c>
    </row>
    <row r="53">
      <c r="A53" s="16">
        <f t="shared" si="18"/>
        <v>50</v>
      </c>
      <c r="B53" s="16" t="s">
        <v>29</v>
      </c>
      <c r="C53" s="10" t="str">
        <f>UPPER("Micro-lama per arteria coronarica")</f>
        <v>MICRO-LAMA PER ARTERIA CORONARICA</v>
      </c>
      <c r="D53" s="17">
        <v>200.0</v>
      </c>
      <c r="E53" s="17">
        <f t="shared" si="1"/>
        <v>800</v>
      </c>
      <c r="F53" s="17">
        <v>200.0</v>
      </c>
      <c r="G53" s="17">
        <f t="shared" si="15"/>
        <v>800</v>
      </c>
      <c r="H53" s="17">
        <f t="shared" si="10"/>
        <v>1600</v>
      </c>
      <c r="I53" s="18">
        <v>44.0</v>
      </c>
      <c r="J53" s="19">
        <f t="shared" si="19"/>
        <v>70400</v>
      </c>
      <c r="K53" s="20"/>
      <c r="L53" s="21">
        <f t="shared" si="16"/>
        <v>14080</v>
      </c>
      <c r="M53" s="21">
        <f t="shared" si="17"/>
        <v>84480</v>
      </c>
      <c r="N53" s="19">
        <f t="shared" si="7"/>
        <v>1689.6</v>
      </c>
      <c r="O53" s="22" t="s">
        <v>21</v>
      </c>
    </row>
    <row r="54">
      <c r="A54" s="16">
        <f t="shared" si="18"/>
        <v>51</v>
      </c>
      <c r="B54" s="16" t="s">
        <v>29</v>
      </c>
      <c r="C54" s="10" t="str">
        <f>UPPER("Micro-lancia per arteria coronarica")</f>
        <v>MICRO-LANCIA PER ARTERIA CORONARICA</v>
      </c>
      <c r="D54" s="17">
        <v>200.0</v>
      </c>
      <c r="E54" s="17">
        <f t="shared" si="1"/>
        <v>800</v>
      </c>
      <c r="F54" s="17">
        <v>200.0</v>
      </c>
      <c r="G54" s="17">
        <f t="shared" si="15"/>
        <v>800</v>
      </c>
      <c r="H54" s="17">
        <f t="shared" si="10"/>
        <v>1600</v>
      </c>
      <c r="I54" s="18">
        <v>187.0</v>
      </c>
      <c r="J54" s="19">
        <f t="shared" si="19"/>
        <v>299200</v>
      </c>
      <c r="K54" s="20"/>
      <c r="L54" s="21">
        <f t="shared" si="16"/>
        <v>59840</v>
      </c>
      <c r="M54" s="21">
        <f t="shared" si="17"/>
        <v>359040</v>
      </c>
      <c r="N54" s="19">
        <f t="shared" si="7"/>
        <v>7180.8</v>
      </c>
      <c r="O54" s="22">
        <v>33.0</v>
      </c>
    </row>
    <row r="55">
      <c r="A55" s="16">
        <f t="shared" si="18"/>
        <v>52</v>
      </c>
      <c r="B55" s="16" t="s">
        <v>29</v>
      </c>
      <c r="C55" s="10" t="str">
        <f>UPPER("Soffiatore nebulizzatore di Co2 per campo operatorio")</f>
        <v>SOFFIATORE NEBULIZZATORE DI CO2 PER CAMPO OPERATORIO</v>
      </c>
      <c r="D55" s="17">
        <v>200.0</v>
      </c>
      <c r="E55" s="17">
        <f t="shared" si="1"/>
        <v>800</v>
      </c>
      <c r="F55" s="17">
        <v>0.0</v>
      </c>
      <c r="G55" s="24">
        <v>0.0</v>
      </c>
      <c r="H55" s="17">
        <f t="shared" si="10"/>
        <v>800</v>
      </c>
      <c r="I55" s="18">
        <v>40.7</v>
      </c>
      <c r="J55" s="19">
        <f t="shared" si="19"/>
        <v>32560</v>
      </c>
      <c r="K55" s="20"/>
      <c r="L55" s="21">
        <f t="shared" si="16"/>
        <v>6512</v>
      </c>
      <c r="M55" s="21">
        <f t="shared" si="17"/>
        <v>39072</v>
      </c>
      <c r="N55" s="19">
        <f t="shared" si="7"/>
        <v>781.44</v>
      </c>
      <c r="O55" s="22" t="s">
        <v>21</v>
      </c>
    </row>
    <row r="56">
      <c r="A56" s="16">
        <f t="shared" si="18"/>
        <v>53</v>
      </c>
      <c r="B56" s="26" t="s">
        <v>27</v>
      </c>
      <c r="C56" s="10" t="s">
        <v>65</v>
      </c>
      <c r="D56" s="17">
        <v>200.0</v>
      </c>
      <c r="E56" s="17">
        <f t="shared" si="1"/>
        <v>800</v>
      </c>
      <c r="F56" s="24">
        <v>200.0</v>
      </c>
      <c r="G56" s="17">
        <f t="shared" ref="G56:G57" si="20">F56*4</f>
        <v>800</v>
      </c>
      <c r="H56" s="17">
        <f t="shared" si="10"/>
        <v>1600</v>
      </c>
      <c r="I56" s="18">
        <v>35.0</v>
      </c>
      <c r="J56" s="19">
        <f t="shared" si="19"/>
        <v>56000</v>
      </c>
      <c r="K56" s="18">
        <v>56000.0</v>
      </c>
      <c r="L56" s="21">
        <f t="shared" si="16"/>
        <v>11200</v>
      </c>
      <c r="M56" s="21">
        <f t="shared" si="17"/>
        <v>67200</v>
      </c>
      <c r="N56" s="19">
        <f t="shared" si="7"/>
        <v>1344</v>
      </c>
      <c r="O56" s="35" t="s">
        <v>21</v>
      </c>
    </row>
    <row r="57">
      <c r="A57" s="16">
        <f t="shared" si="18"/>
        <v>54</v>
      </c>
      <c r="B57" s="16" t="s">
        <v>17</v>
      </c>
      <c r="C57" s="10" t="str">
        <f>UPPER("Patch in PTFE FELT")</f>
        <v>PATCH IN PTFE FELT</v>
      </c>
      <c r="D57" s="17">
        <v>100.0</v>
      </c>
      <c r="E57" s="17">
        <f t="shared" si="1"/>
        <v>400</v>
      </c>
      <c r="F57" s="17">
        <v>100.0</v>
      </c>
      <c r="G57" s="17">
        <f t="shared" si="20"/>
        <v>400</v>
      </c>
      <c r="H57" s="17">
        <f t="shared" si="10"/>
        <v>800</v>
      </c>
      <c r="I57" s="18">
        <v>181.5</v>
      </c>
      <c r="J57" s="19">
        <f t="shared" si="19"/>
        <v>145200</v>
      </c>
      <c r="K57" s="20"/>
      <c r="L57" s="21">
        <f t="shared" si="16"/>
        <v>29040</v>
      </c>
      <c r="M57" s="21">
        <f t="shared" si="17"/>
        <v>174240</v>
      </c>
      <c r="N57" s="19">
        <f t="shared" si="7"/>
        <v>3484.8</v>
      </c>
      <c r="O57" s="33"/>
    </row>
    <row r="58">
      <c r="A58" s="16">
        <f t="shared" si="18"/>
        <v>55</v>
      </c>
      <c r="B58" s="16" t="s">
        <v>17</v>
      </c>
      <c r="C58" s="10" t="str">
        <f>UPPER("Patch in poliestere")</f>
        <v>PATCH IN POLIESTERE</v>
      </c>
      <c r="D58" s="17">
        <v>30.0</v>
      </c>
      <c r="E58" s="17">
        <f t="shared" si="1"/>
        <v>120</v>
      </c>
      <c r="F58" s="17">
        <v>0.0</v>
      </c>
      <c r="G58" s="24">
        <v>0.0</v>
      </c>
      <c r="H58" s="17">
        <f t="shared" si="10"/>
        <v>120</v>
      </c>
      <c r="I58" s="18">
        <v>181.5</v>
      </c>
      <c r="J58" s="19">
        <f t="shared" si="19"/>
        <v>21780</v>
      </c>
      <c r="K58" s="20"/>
      <c r="L58" s="21">
        <f t="shared" si="16"/>
        <v>4356</v>
      </c>
      <c r="M58" s="21">
        <f t="shared" si="17"/>
        <v>26136</v>
      </c>
      <c r="N58" s="19">
        <f t="shared" si="7"/>
        <v>522.72</v>
      </c>
      <c r="O58" s="22">
        <v>18.0</v>
      </c>
    </row>
    <row r="59">
      <c r="A59" s="16">
        <f t="shared" si="18"/>
        <v>56</v>
      </c>
      <c r="B59" s="16" t="s">
        <v>17</v>
      </c>
      <c r="C59" s="25" t="str">
        <f>UPPER("Pledget pretagliato PTFE soffice")</f>
        <v>PLEDGET PRETAGLIATO PTFE SOFFICE</v>
      </c>
      <c r="D59" s="17">
        <v>4320.0</v>
      </c>
      <c r="E59" s="17">
        <f t="shared" si="1"/>
        <v>17280</v>
      </c>
      <c r="F59" s="17">
        <v>300.0</v>
      </c>
      <c r="G59" s="17">
        <f t="shared" ref="G59:G60" si="21">F59*4</f>
        <v>1200</v>
      </c>
      <c r="H59" s="17">
        <f t="shared" si="10"/>
        <v>18480</v>
      </c>
      <c r="I59" s="18">
        <v>3.03</v>
      </c>
      <c r="J59" s="18">
        <f t="shared" ref="J59:J60" si="22">H59*I59</f>
        <v>55994.4</v>
      </c>
      <c r="K59" s="20"/>
      <c r="L59" s="21">
        <f t="shared" si="16"/>
        <v>11198.88</v>
      </c>
      <c r="M59" s="21">
        <f t="shared" si="17"/>
        <v>67193.28</v>
      </c>
      <c r="N59" s="19">
        <f t="shared" si="7"/>
        <v>1343.8656</v>
      </c>
      <c r="O59" s="22" t="s">
        <v>21</v>
      </c>
    </row>
    <row r="60">
      <c r="A60" s="16">
        <f t="shared" si="18"/>
        <v>57</v>
      </c>
      <c r="B60" s="16" t="s">
        <v>17</v>
      </c>
      <c r="C60" s="25" t="s">
        <v>66</v>
      </c>
      <c r="D60" s="17">
        <v>250.0</v>
      </c>
      <c r="E60" s="17">
        <f t="shared" si="1"/>
        <v>1000</v>
      </c>
      <c r="F60" s="17">
        <v>150.0</v>
      </c>
      <c r="G60" s="17">
        <f t="shared" si="21"/>
        <v>600</v>
      </c>
      <c r="H60" s="17">
        <f t="shared" si="10"/>
        <v>1600</v>
      </c>
      <c r="I60" s="18">
        <v>35.0</v>
      </c>
      <c r="J60" s="18">
        <f t="shared" si="22"/>
        <v>56000</v>
      </c>
      <c r="K60" s="20"/>
      <c r="L60" s="21">
        <f t="shared" si="16"/>
        <v>11200</v>
      </c>
      <c r="M60" s="21">
        <f t="shared" si="17"/>
        <v>67200</v>
      </c>
      <c r="N60" s="19">
        <f t="shared" si="7"/>
        <v>1344</v>
      </c>
      <c r="O60" s="22" t="s">
        <v>21</v>
      </c>
    </row>
    <row r="61">
      <c r="A61" s="16">
        <f t="shared" si="18"/>
        <v>58</v>
      </c>
      <c r="B61" s="16" t="s">
        <v>29</v>
      </c>
      <c r="C61" s="25" t="str">
        <f>UPPER("Nastro di poliestere con ago")</f>
        <v>NASTRO DI POLIESTERE CON AGO</v>
      </c>
      <c r="D61" s="17">
        <v>50.0</v>
      </c>
      <c r="E61" s="17">
        <f t="shared" si="1"/>
        <v>200</v>
      </c>
      <c r="F61" s="17">
        <v>0.0</v>
      </c>
      <c r="G61" s="24">
        <v>0.0</v>
      </c>
      <c r="H61" s="17">
        <f t="shared" si="10"/>
        <v>200</v>
      </c>
      <c r="I61" s="18">
        <v>20.0</v>
      </c>
      <c r="J61" s="19">
        <f t="shared" ref="J61:J71" si="23">I61*H61</f>
        <v>4000</v>
      </c>
      <c r="K61" s="20"/>
      <c r="L61" s="21">
        <f t="shared" si="16"/>
        <v>800</v>
      </c>
      <c r="M61" s="21">
        <f t="shared" si="17"/>
        <v>4800</v>
      </c>
      <c r="N61" s="19">
        <f t="shared" si="7"/>
        <v>96</v>
      </c>
      <c r="O61" s="22" t="s">
        <v>21</v>
      </c>
    </row>
    <row r="62">
      <c r="A62" s="16">
        <f t="shared" si="18"/>
        <v>59</v>
      </c>
      <c r="B62" s="16" t="s">
        <v>29</v>
      </c>
      <c r="C62" s="25" t="s">
        <v>67</v>
      </c>
      <c r="D62" s="17">
        <v>0.0</v>
      </c>
      <c r="E62" s="17">
        <f t="shared" si="1"/>
        <v>0</v>
      </c>
      <c r="F62" s="17">
        <v>50.0</v>
      </c>
      <c r="G62" s="17">
        <f t="shared" ref="G62:G63" si="24">F62*4</f>
        <v>200</v>
      </c>
      <c r="H62" s="17">
        <f t="shared" si="10"/>
        <v>200</v>
      </c>
      <c r="I62" s="18">
        <v>18.0</v>
      </c>
      <c r="J62" s="19">
        <f t="shared" si="23"/>
        <v>3600</v>
      </c>
      <c r="K62" s="20"/>
      <c r="L62" s="21">
        <f t="shared" si="16"/>
        <v>720</v>
      </c>
      <c r="M62" s="21">
        <f t="shared" si="17"/>
        <v>4320</v>
      </c>
      <c r="N62" s="19">
        <f t="shared" si="7"/>
        <v>86.4</v>
      </c>
      <c r="O62" s="22" t="s">
        <v>21</v>
      </c>
    </row>
    <row r="63">
      <c r="A63" s="16">
        <f t="shared" si="18"/>
        <v>60</v>
      </c>
      <c r="B63" s="16" t="s">
        <v>29</v>
      </c>
      <c r="C63" s="25" t="s">
        <v>67</v>
      </c>
      <c r="D63" s="17">
        <v>0.0</v>
      </c>
      <c r="E63" s="17">
        <f t="shared" si="1"/>
        <v>0</v>
      </c>
      <c r="F63" s="17">
        <v>300.0</v>
      </c>
      <c r="G63" s="17">
        <f t="shared" si="24"/>
        <v>1200</v>
      </c>
      <c r="H63" s="17">
        <f t="shared" si="10"/>
        <v>1200</v>
      </c>
      <c r="I63" s="18">
        <v>23.1</v>
      </c>
      <c r="J63" s="19">
        <f t="shared" si="23"/>
        <v>27720</v>
      </c>
      <c r="K63" s="20"/>
      <c r="L63" s="21">
        <f t="shared" si="16"/>
        <v>5544</v>
      </c>
      <c r="M63" s="21">
        <f t="shared" si="17"/>
        <v>33264</v>
      </c>
      <c r="N63" s="19">
        <f t="shared" si="7"/>
        <v>665.28</v>
      </c>
      <c r="O63" s="22" t="s">
        <v>21</v>
      </c>
    </row>
    <row r="64">
      <c r="A64" s="16">
        <f t="shared" si="18"/>
        <v>61</v>
      </c>
      <c r="B64" s="16" t="s">
        <v>17</v>
      </c>
      <c r="C64" s="15" t="s">
        <v>68</v>
      </c>
      <c r="D64" s="17">
        <v>400.0</v>
      </c>
      <c r="E64" s="17">
        <f t="shared" si="1"/>
        <v>1600</v>
      </c>
      <c r="F64" s="17">
        <v>0.0</v>
      </c>
      <c r="G64" s="24">
        <v>0.0</v>
      </c>
      <c r="H64" s="17">
        <f t="shared" si="10"/>
        <v>1600</v>
      </c>
      <c r="I64" s="18">
        <v>18.7</v>
      </c>
      <c r="J64" s="19">
        <f t="shared" si="23"/>
        <v>29920</v>
      </c>
      <c r="K64" s="20"/>
      <c r="L64" s="21">
        <f t="shared" si="16"/>
        <v>5984</v>
      </c>
      <c r="M64" s="21">
        <f t="shared" si="17"/>
        <v>35904</v>
      </c>
      <c r="N64" s="19">
        <f t="shared" si="7"/>
        <v>718.08</v>
      </c>
      <c r="O64" s="22" t="s">
        <v>21</v>
      </c>
    </row>
    <row r="65">
      <c r="A65" s="16">
        <f t="shared" si="18"/>
        <v>62</v>
      </c>
      <c r="B65" s="16" t="s">
        <v>17</v>
      </c>
      <c r="C65" s="36" t="s">
        <v>69</v>
      </c>
      <c r="D65" s="17">
        <v>400.0</v>
      </c>
      <c r="E65" s="17">
        <f t="shared" si="1"/>
        <v>1600</v>
      </c>
      <c r="F65" s="17">
        <v>0.0</v>
      </c>
      <c r="G65" s="24">
        <v>0.0</v>
      </c>
      <c r="H65" s="17">
        <f t="shared" si="10"/>
        <v>1600</v>
      </c>
      <c r="I65" s="18">
        <v>16.5</v>
      </c>
      <c r="J65" s="19">
        <f t="shared" si="23"/>
        <v>26400</v>
      </c>
      <c r="K65" s="20"/>
      <c r="L65" s="21">
        <f t="shared" si="16"/>
        <v>5280</v>
      </c>
      <c r="M65" s="21">
        <f t="shared" si="17"/>
        <v>31680</v>
      </c>
      <c r="N65" s="19">
        <f t="shared" si="7"/>
        <v>633.6</v>
      </c>
      <c r="O65" s="22" t="s">
        <v>21</v>
      </c>
    </row>
    <row r="66">
      <c r="A66" s="16">
        <f t="shared" si="18"/>
        <v>63</v>
      </c>
      <c r="B66" s="16" t="s">
        <v>29</v>
      </c>
      <c r="C66" s="25" t="str">
        <f>UPPER("Tubo drenaggio toracico retto/angolato in PVC")</f>
        <v>TUBO DRENAGGIO TORACICO RETTO/ANGOLATO IN PVC</v>
      </c>
      <c r="D66" s="17">
        <v>600.0</v>
      </c>
      <c r="E66" s="17">
        <f t="shared" si="1"/>
        <v>2400</v>
      </c>
      <c r="F66" s="17">
        <v>200.0</v>
      </c>
      <c r="G66" s="17">
        <f t="shared" ref="G66:G68" si="25">F66*4</f>
        <v>800</v>
      </c>
      <c r="H66" s="17">
        <f t="shared" si="10"/>
        <v>3200</v>
      </c>
      <c r="I66" s="18">
        <v>11.0</v>
      </c>
      <c r="J66" s="19">
        <f t="shared" si="23"/>
        <v>35200</v>
      </c>
      <c r="K66" s="20"/>
      <c r="L66" s="21">
        <f t="shared" si="16"/>
        <v>7040</v>
      </c>
      <c r="M66" s="21">
        <f t="shared" si="17"/>
        <v>42240</v>
      </c>
      <c r="N66" s="19">
        <f t="shared" si="7"/>
        <v>844.8</v>
      </c>
      <c r="O66" s="22" t="s">
        <v>21</v>
      </c>
    </row>
    <row r="67">
      <c r="A67" s="16">
        <f t="shared" si="18"/>
        <v>64</v>
      </c>
      <c r="B67" s="16" t="s">
        <v>29</v>
      </c>
      <c r="C67" s="25" t="str">
        <f>UPPER("Tubo drenaggio cavo mediastinico e pleurico siliconico")</f>
        <v>TUBO DRENAGGIO CAVO MEDIASTINICO E PLEURICO SILICONICO</v>
      </c>
      <c r="D67" s="17">
        <v>800.0</v>
      </c>
      <c r="E67" s="17">
        <f t="shared" si="1"/>
        <v>3200</v>
      </c>
      <c r="F67" s="17">
        <v>600.0</v>
      </c>
      <c r="G67" s="17">
        <f t="shared" si="25"/>
        <v>2400</v>
      </c>
      <c r="H67" s="17">
        <f t="shared" si="10"/>
        <v>5600</v>
      </c>
      <c r="I67" s="18">
        <v>16.5</v>
      </c>
      <c r="J67" s="19">
        <f t="shared" si="23"/>
        <v>92400</v>
      </c>
      <c r="K67" s="20"/>
      <c r="L67" s="21">
        <f t="shared" si="16"/>
        <v>18480</v>
      </c>
      <c r="M67" s="21">
        <f t="shared" si="17"/>
        <v>110880</v>
      </c>
      <c r="N67" s="19">
        <f t="shared" si="7"/>
        <v>2217.6</v>
      </c>
      <c r="O67" s="22" t="s">
        <v>21</v>
      </c>
    </row>
    <row r="68">
      <c r="A68" s="16">
        <f t="shared" si="18"/>
        <v>65</v>
      </c>
      <c r="B68" s="16" t="s">
        <v>17</v>
      </c>
      <c r="C68" s="25" t="s">
        <v>70</v>
      </c>
      <c r="D68" s="17">
        <v>100.0</v>
      </c>
      <c r="E68" s="17">
        <f t="shared" si="1"/>
        <v>400</v>
      </c>
      <c r="F68" s="17">
        <v>70.0</v>
      </c>
      <c r="G68" s="17">
        <f t="shared" si="25"/>
        <v>280</v>
      </c>
      <c r="H68" s="17">
        <f t="shared" si="10"/>
        <v>680</v>
      </c>
      <c r="I68" s="18">
        <v>660.0</v>
      </c>
      <c r="J68" s="19">
        <f t="shared" si="23"/>
        <v>448800</v>
      </c>
      <c r="K68" s="20"/>
      <c r="L68" s="21">
        <f t="shared" si="16"/>
        <v>89760</v>
      </c>
      <c r="M68" s="21">
        <f t="shared" si="17"/>
        <v>538560</v>
      </c>
      <c r="N68" s="19">
        <f t="shared" si="7"/>
        <v>10771.2</v>
      </c>
      <c r="O68" s="22" t="s">
        <v>21</v>
      </c>
    </row>
    <row r="69">
      <c r="A69" s="16">
        <f t="shared" si="18"/>
        <v>66</v>
      </c>
      <c r="B69" s="16" t="s">
        <v>17</v>
      </c>
      <c r="C69" s="10" t="str">
        <f>UPPER("Dispositivo lussatore cardiaco")</f>
        <v>DISPOSITIVO LUSSATORE CARDIACO</v>
      </c>
      <c r="D69" s="17">
        <v>50.0</v>
      </c>
      <c r="E69" s="17">
        <f t="shared" si="1"/>
        <v>200</v>
      </c>
      <c r="F69" s="17">
        <v>0.0</v>
      </c>
      <c r="G69" s="24">
        <v>0.0</v>
      </c>
      <c r="H69" s="17">
        <f t="shared" si="10"/>
        <v>200</v>
      </c>
      <c r="I69" s="18">
        <v>440.0</v>
      </c>
      <c r="J69" s="19">
        <f t="shared" si="23"/>
        <v>88000</v>
      </c>
      <c r="K69" s="20"/>
      <c r="L69" s="21">
        <f t="shared" si="16"/>
        <v>17600</v>
      </c>
      <c r="M69" s="21">
        <f t="shared" si="17"/>
        <v>105600</v>
      </c>
      <c r="N69" s="19">
        <f t="shared" si="7"/>
        <v>2112</v>
      </c>
      <c r="O69" s="22">
        <v>77.0</v>
      </c>
    </row>
    <row r="70">
      <c r="A70" s="16">
        <f t="shared" si="18"/>
        <v>67</v>
      </c>
      <c r="B70" s="16" t="s">
        <v>17</v>
      </c>
      <c r="C70" s="10" t="str">
        <f>UPPER("Sistema mini-invasivo per il prelievo endoscopico della vena safena e arteria radiale")</f>
        <v>SISTEMA MINI-INVASIVO PER IL PRELIEVO ENDOSCOPICO DELLA VENA SAFENA E ARTERIA RADIALE</v>
      </c>
      <c r="D70" s="17">
        <v>10.0</v>
      </c>
      <c r="E70" s="17">
        <f t="shared" si="1"/>
        <v>40</v>
      </c>
      <c r="F70" s="17">
        <v>80.0</v>
      </c>
      <c r="G70" s="17">
        <f t="shared" ref="G70:G71" si="26">F70*4</f>
        <v>320</v>
      </c>
      <c r="H70" s="17">
        <f t="shared" si="10"/>
        <v>360</v>
      </c>
      <c r="I70" s="18">
        <v>1320.0</v>
      </c>
      <c r="J70" s="19">
        <f t="shared" si="23"/>
        <v>475200</v>
      </c>
      <c r="K70" s="20"/>
      <c r="L70" s="21">
        <f t="shared" si="16"/>
        <v>95040</v>
      </c>
      <c r="M70" s="21">
        <f t="shared" si="17"/>
        <v>570240</v>
      </c>
      <c r="N70" s="19">
        <f t="shared" si="7"/>
        <v>11404.8</v>
      </c>
      <c r="O70" s="22" t="s">
        <v>21</v>
      </c>
    </row>
    <row r="71">
      <c r="A71" s="16">
        <f t="shared" si="18"/>
        <v>68</v>
      </c>
      <c r="B71" s="16" t="s">
        <v>17</v>
      </c>
      <c r="C71" s="10" t="str">
        <f>UPPER("Corde tendinee in PTFE preconfezionate per intervento di riparazione valvola mitrale")</f>
        <v>CORDE TENDINEE IN PTFE PRECONFEZIONATE PER INTERVENTO DI RIPARAZIONE VALVOLA MITRALE</v>
      </c>
      <c r="D71" s="17">
        <v>96.0</v>
      </c>
      <c r="E71" s="17">
        <f t="shared" si="1"/>
        <v>384</v>
      </c>
      <c r="F71" s="17">
        <v>120.0</v>
      </c>
      <c r="G71" s="17">
        <f t="shared" si="26"/>
        <v>480</v>
      </c>
      <c r="H71" s="17">
        <f t="shared" si="10"/>
        <v>864</v>
      </c>
      <c r="I71" s="18">
        <v>32.45</v>
      </c>
      <c r="J71" s="19">
        <f t="shared" si="23"/>
        <v>28036.8</v>
      </c>
      <c r="K71" s="20"/>
      <c r="L71" s="21">
        <f t="shared" si="16"/>
        <v>5607.36</v>
      </c>
      <c r="M71" s="21">
        <f t="shared" si="17"/>
        <v>33644.16</v>
      </c>
      <c r="N71" s="19">
        <f t="shared" si="7"/>
        <v>672.8832</v>
      </c>
      <c r="O71" s="22">
        <v>77.0</v>
      </c>
    </row>
    <row r="72">
      <c r="A72" s="16">
        <f t="shared" si="18"/>
        <v>69</v>
      </c>
      <c r="B72" s="16" t="s">
        <v>17</v>
      </c>
      <c r="C72" s="25" t="s">
        <v>71</v>
      </c>
      <c r="D72" s="17">
        <v>800.0</v>
      </c>
      <c r="E72" s="17">
        <f t="shared" si="1"/>
        <v>3200</v>
      </c>
      <c r="F72" s="24">
        <v>0.0</v>
      </c>
      <c r="G72" s="24">
        <v>0.0</v>
      </c>
      <c r="H72" s="17">
        <f t="shared" si="10"/>
        <v>3200</v>
      </c>
      <c r="I72" s="18">
        <v>12.0</v>
      </c>
      <c r="J72" s="18">
        <f>H72*I72</f>
        <v>38400</v>
      </c>
      <c r="K72" s="20"/>
      <c r="L72" s="21">
        <f t="shared" si="16"/>
        <v>7680</v>
      </c>
      <c r="M72" s="21">
        <f t="shared" si="17"/>
        <v>46080</v>
      </c>
      <c r="N72" s="19">
        <f t="shared" si="7"/>
        <v>921.6</v>
      </c>
      <c r="O72" s="22" t="s">
        <v>21</v>
      </c>
    </row>
    <row r="73">
      <c r="A73" s="16">
        <f t="shared" si="18"/>
        <v>70</v>
      </c>
      <c r="B73" s="16" t="s">
        <v>17</v>
      </c>
      <c r="C73" s="37" t="s">
        <v>72</v>
      </c>
      <c r="D73" s="17">
        <v>400.0</v>
      </c>
      <c r="E73" s="17">
        <f t="shared" si="1"/>
        <v>1600</v>
      </c>
      <c r="F73" s="17">
        <v>0.0</v>
      </c>
      <c r="G73" s="24">
        <v>0.0</v>
      </c>
      <c r="H73" s="17">
        <f t="shared" si="10"/>
        <v>1600</v>
      </c>
      <c r="I73" s="18">
        <v>250.0</v>
      </c>
      <c r="J73" s="19">
        <f t="shared" ref="J73:J77" si="27">I73*H73</f>
        <v>400000</v>
      </c>
      <c r="K73" s="20"/>
      <c r="L73" s="21">
        <f t="shared" si="16"/>
        <v>80000</v>
      </c>
      <c r="M73" s="21">
        <f t="shared" si="17"/>
        <v>480000</v>
      </c>
      <c r="N73" s="19">
        <f t="shared" si="7"/>
        <v>9600</v>
      </c>
      <c r="O73" s="22" t="s">
        <v>21</v>
      </c>
    </row>
    <row r="74">
      <c r="A74" s="16">
        <f t="shared" si="18"/>
        <v>71</v>
      </c>
      <c r="B74" s="16" t="s">
        <v>17</v>
      </c>
      <c r="C74" s="25" t="s">
        <v>73</v>
      </c>
      <c r="D74" s="17">
        <v>100.0</v>
      </c>
      <c r="E74" s="17">
        <f t="shared" si="1"/>
        <v>400</v>
      </c>
      <c r="F74" s="17">
        <v>50.0</v>
      </c>
      <c r="G74" s="17">
        <f t="shared" ref="G74:G82" si="28">F74*4</f>
        <v>200</v>
      </c>
      <c r="H74" s="17">
        <f t="shared" si="10"/>
        <v>600</v>
      </c>
      <c r="I74" s="18">
        <v>20.0</v>
      </c>
      <c r="J74" s="19">
        <f t="shared" si="27"/>
        <v>12000</v>
      </c>
      <c r="K74" s="20"/>
      <c r="L74" s="21">
        <f t="shared" si="16"/>
        <v>2400</v>
      </c>
      <c r="M74" s="21">
        <f t="shared" si="17"/>
        <v>14400</v>
      </c>
      <c r="N74" s="19">
        <f t="shared" si="7"/>
        <v>288</v>
      </c>
      <c r="O74" s="22">
        <v>33.0</v>
      </c>
    </row>
    <row r="75">
      <c r="A75" s="16">
        <f t="shared" si="18"/>
        <v>72</v>
      </c>
      <c r="B75" s="16" t="s">
        <v>17</v>
      </c>
      <c r="C75" s="10" t="s">
        <v>74</v>
      </c>
      <c r="D75" s="17">
        <v>0.0</v>
      </c>
      <c r="E75" s="17">
        <f t="shared" si="1"/>
        <v>0</v>
      </c>
      <c r="F75" s="17">
        <v>400.0</v>
      </c>
      <c r="G75" s="17">
        <f t="shared" si="28"/>
        <v>1600</v>
      </c>
      <c r="H75" s="17">
        <f t="shared" si="10"/>
        <v>1600</v>
      </c>
      <c r="I75" s="18">
        <v>66.0</v>
      </c>
      <c r="J75" s="19">
        <f t="shared" si="27"/>
        <v>105600</v>
      </c>
      <c r="K75" s="20"/>
      <c r="L75" s="21">
        <f t="shared" si="16"/>
        <v>21120</v>
      </c>
      <c r="M75" s="21">
        <f t="shared" si="17"/>
        <v>126720</v>
      </c>
      <c r="N75" s="19">
        <f t="shared" si="7"/>
        <v>2534.4</v>
      </c>
      <c r="O75" s="22" t="s">
        <v>21</v>
      </c>
    </row>
    <row r="76">
      <c r="A76" s="16">
        <f t="shared" si="18"/>
        <v>73</v>
      </c>
      <c r="B76" s="16" t="s">
        <v>29</v>
      </c>
      <c r="C76" s="10" t="s">
        <v>75</v>
      </c>
      <c r="D76" s="17">
        <v>10.0</v>
      </c>
      <c r="E76" s="17">
        <f t="shared" si="1"/>
        <v>40</v>
      </c>
      <c r="F76" s="17">
        <v>30.0</v>
      </c>
      <c r="G76" s="17">
        <f t="shared" si="28"/>
        <v>120</v>
      </c>
      <c r="H76" s="17">
        <f t="shared" si="10"/>
        <v>160</v>
      </c>
      <c r="I76" s="18">
        <v>110.0</v>
      </c>
      <c r="J76" s="19">
        <f t="shared" si="27"/>
        <v>17600</v>
      </c>
      <c r="K76" s="20"/>
      <c r="L76" s="21">
        <f t="shared" si="16"/>
        <v>3520</v>
      </c>
      <c r="M76" s="21">
        <f t="shared" si="17"/>
        <v>21120</v>
      </c>
      <c r="N76" s="19">
        <f t="shared" si="7"/>
        <v>422.4</v>
      </c>
      <c r="O76" s="22" t="s">
        <v>21</v>
      </c>
    </row>
    <row r="77">
      <c r="A77" s="16">
        <f t="shared" si="18"/>
        <v>74</v>
      </c>
      <c r="B77" s="16" t="s">
        <v>17</v>
      </c>
      <c r="C77" s="10" t="s">
        <v>76</v>
      </c>
      <c r="D77" s="17">
        <v>600.0</v>
      </c>
      <c r="E77" s="17">
        <f t="shared" si="1"/>
        <v>2400</v>
      </c>
      <c r="F77" s="17">
        <v>800.0</v>
      </c>
      <c r="G77" s="17">
        <f t="shared" si="28"/>
        <v>3200</v>
      </c>
      <c r="H77" s="17">
        <f t="shared" si="10"/>
        <v>5600</v>
      </c>
      <c r="I77" s="18">
        <v>1.43</v>
      </c>
      <c r="J77" s="19">
        <f t="shared" si="27"/>
        <v>8008</v>
      </c>
      <c r="K77" s="20"/>
      <c r="L77" s="21">
        <f t="shared" si="16"/>
        <v>1601.6</v>
      </c>
      <c r="M77" s="21">
        <f t="shared" si="17"/>
        <v>9609.6</v>
      </c>
      <c r="N77" s="19">
        <f t="shared" si="7"/>
        <v>192.192</v>
      </c>
      <c r="O77" s="22" t="s">
        <v>21</v>
      </c>
    </row>
    <row r="78">
      <c r="A78" s="28">
        <f t="shared" si="18"/>
        <v>75</v>
      </c>
      <c r="B78" s="28" t="s">
        <v>29</v>
      </c>
      <c r="C78" s="10" t="s">
        <v>77</v>
      </c>
      <c r="D78" s="17">
        <v>150.0</v>
      </c>
      <c r="E78" s="17">
        <f t="shared" si="1"/>
        <v>600</v>
      </c>
      <c r="F78" s="17">
        <v>100.0</v>
      </c>
      <c r="G78" s="17">
        <f t="shared" si="28"/>
        <v>400</v>
      </c>
      <c r="H78" s="17">
        <f t="shared" si="10"/>
        <v>1000</v>
      </c>
      <c r="I78" s="18">
        <v>16.5</v>
      </c>
      <c r="J78" s="29">
        <f>(I78*H78)+(I79*H79)+(I80*H80)+(I81*H81)</f>
        <v>41250</v>
      </c>
      <c r="K78" s="30"/>
      <c r="L78" s="31">
        <f t="shared" si="16"/>
        <v>8250</v>
      </c>
      <c r="M78" s="31">
        <f t="shared" si="17"/>
        <v>49500</v>
      </c>
      <c r="N78" s="29">
        <f t="shared" si="7"/>
        <v>990</v>
      </c>
      <c r="O78" s="35" t="s">
        <v>21</v>
      </c>
    </row>
    <row r="79">
      <c r="A79" s="38"/>
      <c r="B79" s="38"/>
      <c r="C79" s="10" t="s">
        <v>78</v>
      </c>
      <c r="D79" s="17">
        <v>25.0</v>
      </c>
      <c r="E79" s="17">
        <f t="shared" si="1"/>
        <v>100</v>
      </c>
      <c r="F79" s="17">
        <v>25.0</v>
      </c>
      <c r="G79" s="17">
        <f t="shared" si="28"/>
        <v>100</v>
      </c>
      <c r="H79" s="17">
        <f t="shared" si="10"/>
        <v>200</v>
      </c>
      <c r="I79" s="18">
        <v>16.5</v>
      </c>
      <c r="J79" s="38"/>
      <c r="K79" s="38"/>
      <c r="L79" s="38"/>
      <c r="M79" s="38"/>
      <c r="N79" s="38"/>
      <c r="O79" s="38"/>
    </row>
    <row r="80">
      <c r="A80" s="38"/>
      <c r="B80" s="38"/>
      <c r="C80" s="10" t="s">
        <v>79</v>
      </c>
      <c r="D80" s="17">
        <v>150.0</v>
      </c>
      <c r="E80" s="17">
        <f t="shared" si="1"/>
        <v>600</v>
      </c>
      <c r="F80" s="17">
        <v>25.0</v>
      </c>
      <c r="G80" s="17">
        <f t="shared" si="28"/>
        <v>100</v>
      </c>
      <c r="H80" s="17">
        <f t="shared" si="10"/>
        <v>700</v>
      </c>
      <c r="I80" s="18">
        <v>16.5</v>
      </c>
      <c r="J80" s="38"/>
      <c r="K80" s="38"/>
      <c r="L80" s="38"/>
      <c r="M80" s="38"/>
      <c r="N80" s="38"/>
      <c r="O80" s="38"/>
    </row>
    <row r="81">
      <c r="A81" s="33"/>
      <c r="B81" s="33"/>
      <c r="C81" s="10" t="s">
        <v>80</v>
      </c>
      <c r="D81" s="17">
        <v>50.0</v>
      </c>
      <c r="E81" s="17">
        <f t="shared" si="1"/>
        <v>200</v>
      </c>
      <c r="F81" s="17">
        <v>100.0</v>
      </c>
      <c r="G81" s="17">
        <f t="shared" si="28"/>
        <v>400</v>
      </c>
      <c r="H81" s="17">
        <f t="shared" si="10"/>
        <v>600</v>
      </c>
      <c r="I81" s="18">
        <v>16.5</v>
      </c>
      <c r="J81" s="33"/>
      <c r="K81" s="33"/>
      <c r="L81" s="33"/>
      <c r="M81" s="33"/>
      <c r="N81" s="33"/>
      <c r="O81" s="33"/>
    </row>
    <row r="82">
      <c r="A82" s="16">
        <f>A78+1</f>
        <v>76</v>
      </c>
      <c r="B82" s="16" t="s">
        <v>29</v>
      </c>
      <c r="C82" s="10" t="s">
        <v>81</v>
      </c>
      <c r="D82" s="17">
        <v>500.0</v>
      </c>
      <c r="E82" s="17">
        <f t="shared" si="1"/>
        <v>2000</v>
      </c>
      <c r="F82" s="17">
        <v>400.0</v>
      </c>
      <c r="G82" s="17">
        <f t="shared" si="28"/>
        <v>1600</v>
      </c>
      <c r="H82" s="17">
        <f t="shared" si="10"/>
        <v>3600</v>
      </c>
      <c r="I82" s="18">
        <v>10.0</v>
      </c>
      <c r="J82" s="19">
        <f>I82*H82</f>
        <v>36000</v>
      </c>
      <c r="K82" s="20"/>
      <c r="L82" s="21">
        <f t="shared" ref="L82:L83" si="29">J82*0.2</f>
        <v>7200</v>
      </c>
      <c r="M82" s="21">
        <f t="shared" ref="M82:M83" si="30">J82+L82</f>
        <v>43200</v>
      </c>
      <c r="N82" s="19">
        <f t="shared" ref="N82:N83" si="31">M82*2%</f>
        <v>864</v>
      </c>
      <c r="O82" s="27" t="s">
        <v>21</v>
      </c>
    </row>
    <row r="83">
      <c r="A83" s="28">
        <f>A82+1</f>
        <v>77</v>
      </c>
      <c r="B83" s="39" t="s">
        <v>17</v>
      </c>
      <c r="C83" s="36" t="s">
        <v>82</v>
      </c>
      <c r="D83" s="40" t="s">
        <v>83</v>
      </c>
      <c r="E83" s="40" t="s">
        <v>84</v>
      </c>
      <c r="F83" s="41">
        <v>0.0</v>
      </c>
      <c r="G83" s="42">
        <v>0.0</v>
      </c>
      <c r="H83" s="40" t="s">
        <v>84</v>
      </c>
      <c r="I83" s="43" t="s">
        <v>85</v>
      </c>
      <c r="J83" s="44">
        <f>(28800*2)*4+(I84*H84)</f>
        <v>309600</v>
      </c>
      <c r="K83" s="30"/>
      <c r="L83" s="31">
        <f t="shared" si="29"/>
        <v>61920</v>
      </c>
      <c r="M83" s="31">
        <f t="shared" si="30"/>
        <v>371520</v>
      </c>
      <c r="N83" s="29">
        <f t="shared" si="31"/>
        <v>7430.4</v>
      </c>
      <c r="O83" s="35">
        <v>33.0</v>
      </c>
    </row>
    <row r="84">
      <c r="A84" s="33"/>
      <c r="B84" s="33"/>
      <c r="C84" s="10" t="s">
        <v>86</v>
      </c>
      <c r="D84" s="17">
        <v>400.0</v>
      </c>
      <c r="E84" s="17">
        <f>D84*4</f>
        <v>1600</v>
      </c>
      <c r="F84" s="17">
        <v>0.0</v>
      </c>
      <c r="G84" s="24">
        <v>0.0</v>
      </c>
      <c r="H84" s="17">
        <f>SUM(E84+G84)</f>
        <v>1600</v>
      </c>
      <c r="I84" s="18">
        <v>49.5</v>
      </c>
      <c r="J84" s="33"/>
      <c r="K84" s="33"/>
      <c r="L84" s="33"/>
      <c r="M84" s="33"/>
      <c r="N84" s="33"/>
      <c r="O84" s="33"/>
    </row>
    <row r="85">
      <c r="A85" s="28">
        <f>A83+1</f>
        <v>78</v>
      </c>
      <c r="B85" s="28" t="s">
        <v>17</v>
      </c>
      <c r="C85" s="45" t="s">
        <v>87</v>
      </c>
      <c r="D85" s="40" t="s">
        <v>88</v>
      </c>
      <c r="E85" s="40" t="s">
        <v>89</v>
      </c>
      <c r="F85" s="41">
        <v>0.0</v>
      </c>
      <c r="G85" s="42">
        <v>0.0</v>
      </c>
      <c r="H85" s="40" t="s">
        <v>89</v>
      </c>
      <c r="I85" s="43" t="s">
        <v>90</v>
      </c>
      <c r="J85" s="44">
        <f>(36000*2)*4+(I86*25)*4</f>
        <v>1038000</v>
      </c>
      <c r="K85" s="30"/>
      <c r="L85" s="31">
        <f>J85*0.2</f>
        <v>207600</v>
      </c>
      <c r="M85" s="31">
        <f>J85+L85</f>
        <v>1245600</v>
      </c>
      <c r="N85" s="29">
        <f>M85*2%</f>
        <v>24912</v>
      </c>
      <c r="O85" s="35">
        <v>165.0</v>
      </c>
    </row>
    <row r="86">
      <c r="A86" s="33"/>
      <c r="B86" s="33"/>
      <c r="C86" s="10" t="s">
        <v>91</v>
      </c>
      <c r="D86" s="17">
        <v>25.0</v>
      </c>
      <c r="E86" s="17">
        <f t="shared" ref="E86:E97" si="32">D86*4</f>
        <v>100</v>
      </c>
      <c r="F86" s="17">
        <v>0.0</v>
      </c>
      <c r="G86" s="24">
        <v>0.0</v>
      </c>
      <c r="H86" s="17">
        <f t="shared" ref="H86:H97" si="33">SUM(E86+G86)</f>
        <v>100</v>
      </c>
      <c r="I86" s="18">
        <v>7500.0</v>
      </c>
      <c r="J86" s="33"/>
      <c r="K86" s="33"/>
      <c r="L86" s="33"/>
      <c r="M86" s="33"/>
      <c r="N86" s="33"/>
      <c r="O86" s="33"/>
    </row>
    <row r="87">
      <c r="A87" s="28">
        <f>A85+1</f>
        <v>79</v>
      </c>
      <c r="B87" s="46" t="s">
        <v>17</v>
      </c>
      <c r="C87" s="15" t="s">
        <v>92</v>
      </c>
      <c r="D87" s="17">
        <v>25.0</v>
      </c>
      <c r="E87" s="17">
        <f t="shared" si="32"/>
        <v>100</v>
      </c>
      <c r="F87" s="17">
        <v>0.0</v>
      </c>
      <c r="G87" s="24">
        <v>0.0</v>
      </c>
      <c r="H87" s="17">
        <f t="shared" si="33"/>
        <v>100</v>
      </c>
      <c r="I87" s="18">
        <v>605.0</v>
      </c>
      <c r="J87" s="29">
        <f>(I87*H87)+(H88*I88)+(H89*I89)</f>
        <v>165000</v>
      </c>
      <c r="K87" s="30"/>
      <c r="L87" s="31">
        <f>J87*0.2</f>
        <v>33000</v>
      </c>
      <c r="M87" s="31">
        <f>J87+L87</f>
        <v>198000</v>
      </c>
      <c r="N87" s="29">
        <f>M87*2%</f>
        <v>3960</v>
      </c>
      <c r="O87" s="35">
        <v>18.0</v>
      </c>
    </row>
    <row r="88">
      <c r="A88" s="38"/>
      <c r="B88" s="38"/>
      <c r="C88" s="15" t="s">
        <v>93</v>
      </c>
      <c r="D88" s="17">
        <v>25.0</v>
      </c>
      <c r="E88" s="17">
        <f t="shared" si="32"/>
        <v>100</v>
      </c>
      <c r="F88" s="17">
        <v>0.0</v>
      </c>
      <c r="G88" s="24">
        <v>0.0</v>
      </c>
      <c r="H88" s="17">
        <f t="shared" si="33"/>
        <v>100</v>
      </c>
      <c r="I88" s="18">
        <v>715.0</v>
      </c>
      <c r="J88" s="38"/>
      <c r="K88" s="38"/>
      <c r="L88" s="38"/>
      <c r="M88" s="38"/>
      <c r="N88" s="38"/>
      <c r="O88" s="38"/>
    </row>
    <row r="89">
      <c r="A89" s="33"/>
      <c r="B89" s="33"/>
      <c r="C89" s="15" t="s">
        <v>94</v>
      </c>
      <c r="D89" s="17">
        <v>50.0</v>
      </c>
      <c r="E89" s="17">
        <f t="shared" si="32"/>
        <v>200</v>
      </c>
      <c r="F89" s="17">
        <v>0.0</v>
      </c>
      <c r="G89" s="24">
        <v>0.0</v>
      </c>
      <c r="H89" s="17">
        <f t="shared" si="33"/>
        <v>200</v>
      </c>
      <c r="I89" s="18">
        <v>165.0</v>
      </c>
      <c r="J89" s="33"/>
      <c r="K89" s="33"/>
      <c r="L89" s="33"/>
      <c r="M89" s="33"/>
      <c r="N89" s="33"/>
      <c r="O89" s="33"/>
    </row>
    <row r="90">
      <c r="A90" s="8">
        <f>A87+1</f>
        <v>80</v>
      </c>
      <c r="B90" s="39" t="s">
        <v>29</v>
      </c>
      <c r="C90" s="36" t="s">
        <v>95</v>
      </c>
      <c r="D90" s="41">
        <v>25.0</v>
      </c>
      <c r="E90" s="17">
        <f t="shared" si="32"/>
        <v>100</v>
      </c>
      <c r="F90" s="41">
        <v>0.0</v>
      </c>
      <c r="G90" s="42">
        <v>0.0</v>
      </c>
      <c r="H90" s="17">
        <f t="shared" si="33"/>
        <v>100</v>
      </c>
      <c r="I90" s="18">
        <v>165.0</v>
      </c>
      <c r="J90" s="19">
        <f t="shared" ref="J90:J91" si="34">I90*H90</f>
        <v>16500</v>
      </c>
      <c r="K90" s="20"/>
      <c r="L90" s="21">
        <f t="shared" ref="L90:L92" si="35">J90*0.2</f>
        <v>3300</v>
      </c>
      <c r="M90" s="21">
        <f t="shared" ref="M90:M92" si="36">J90+L90</f>
        <v>19800</v>
      </c>
      <c r="N90" s="19">
        <f t="shared" ref="N90:N92" si="37">M90*2%</f>
        <v>396</v>
      </c>
      <c r="O90" s="27" t="s">
        <v>21</v>
      </c>
    </row>
    <row r="91">
      <c r="A91" s="16">
        <f t="shared" ref="A91:A92" si="38">A90+1</f>
        <v>81</v>
      </c>
      <c r="B91" s="16" t="s">
        <v>17</v>
      </c>
      <c r="C91" s="15" t="s">
        <v>96</v>
      </c>
      <c r="D91" s="17">
        <v>200.0</v>
      </c>
      <c r="E91" s="17">
        <f t="shared" si="32"/>
        <v>800</v>
      </c>
      <c r="F91" s="17">
        <v>50.0</v>
      </c>
      <c r="G91" s="17">
        <f t="shared" ref="G91:G93" si="39">F91*4</f>
        <v>200</v>
      </c>
      <c r="H91" s="17">
        <f t="shared" si="33"/>
        <v>1000</v>
      </c>
      <c r="I91" s="18">
        <v>40.0</v>
      </c>
      <c r="J91" s="19">
        <f t="shared" si="34"/>
        <v>40000</v>
      </c>
      <c r="K91" s="20"/>
      <c r="L91" s="21">
        <f t="shared" si="35"/>
        <v>8000</v>
      </c>
      <c r="M91" s="21">
        <f t="shared" si="36"/>
        <v>48000</v>
      </c>
      <c r="N91" s="19">
        <f t="shared" si="37"/>
        <v>960</v>
      </c>
      <c r="O91" s="22" t="s">
        <v>21</v>
      </c>
    </row>
    <row r="92">
      <c r="A92" s="28">
        <f t="shared" si="38"/>
        <v>82</v>
      </c>
      <c r="B92" s="28" t="s">
        <v>17</v>
      </c>
      <c r="C92" s="16" t="s">
        <v>97</v>
      </c>
      <c r="D92" s="17">
        <v>60.0</v>
      </c>
      <c r="E92" s="17">
        <f t="shared" si="32"/>
        <v>240</v>
      </c>
      <c r="F92" s="17">
        <v>40.0</v>
      </c>
      <c r="G92" s="17">
        <f t="shared" si="39"/>
        <v>160</v>
      </c>
      <c r="H92" s="17">
        <f t="shared" si="33"/>
        <v>400</v>
      </c>
      <c r="I92" s="18">
        <v>325.0</v>
      </c>
      <c r="J92" s="47">
        <v>230000.0</v>
      </c>
      <c r="K92" s="30"/>
      <c r="L92" s="31">
        <f t="shared" si="35"/>
        <v>46000</v>
      </c>
      <c r="M92" s="31">
        <f t="shared" si="36"/>
        <v>276000</v>
      </c>
      <c r="N92" s="29">
        <f t="shared" si="37"/>
        <v>5520</v>
      </c>
      <c r="O92" s="32">
        <v>18.0</v>
      </c>
    </row>
    <row r="93">
      <c r="A93" s="33"/>
      <c r="B93" s="33"/>
      <c r="C93" s="16" t="s">
        <v>98</v>
      </c>
      <c r="D93" s="17">
        <v>60.0</v>
      </c>
      <c r="E93" s="17">
        <f t="shared" si="32"/>
        <v>240</v>
      </c>
      <c r="F93" s="17">
        <v>40.0</v>
      </c>
      <c r="G93" s="17">
        <f t="shared" si="39"/>
        <v>160</v>
      </c>
      <c r="H93" s="17">
        <f t="shared" si="33"/>
        <v>400</v>
      </c>
      <c r="I93" s="18">
        <v>250.0</v>
      </c>
      <c r="J93" s="33"/>
      <c r="K93" s="33"/>
      <c r="L93" s="33"/>
      <c r="M93" s="33"/>
      <c r="N93" s="33"/>
      <c r="O93" s="33"/>
    </row>
    <row r="94">
      <c r="A94" s="8">
        <f>A92+1</f>
        <v>83</v>
      </c>
      <c r="B94" s="16" t="s">
        <v>17</v>
      </c>
      <c r="C94" s="10" t="s">
        <v>99</v>
      </c>
      <c r="D94" s="48">
        <v>5.0</v>
      </c>
      <c r="E94" s="17">
        <f t="shared" si="32"/>
        <v>20</v>
      </c>
      <c r="F94" s="17">
        <v>0.0</v>
      </c>
      <c r="G94" s="24">
        <v>0.0</v>
      </c>
      <c r="H94" s="17">
        <f t="shared" si="33"/>
        <v>20</v>
      </c>
      <c r="I94" s="18">
        <v>880.0</v>
      </c>
      <c r="J94" s="19">
        <f t="shared" ref="J94:J97" si="40">I94*H94</f>
        <v>17600</v>
      </c>
      <c r="K94" s="20"/>
      <c r="L94" s="21">
        <f t="shared" ref="L94:L98" si="41">J94*0.2</f>
        <v>3520</v>
      </c>
      <c r="M94" s="21">
        <f t="shared" ref="M94:M98" si="42">J94+L94</f>
        <v>21120</v>
      </c>
      <c r="N94" s="19">
        <f t="shared" ref="N94:N97" si="43">M94*2%</f>
        <v>422.4</v>
      </c>
      <c r="O94" s="27" t="s">
        <v>21</v>
      </c>
    </row>
    <row r="95">
      <c r="A95" s="16">
        <f t="shared" ref="A95:A97" si="44">A94+1</f>
        <v>84</v>
      </c>
      <c r="B95" s="16" t="s">
        <v>17</v>
      </c>
      <c r="C95" s="36" t="s">
        <v>100</v>
      </c>
      <c r="D95" s="49">
        <v>10.0</v>
      </c>
      <c r="E95" s="17">
        <f t="shared" si="32"/>
        <v>40</v>
      </c>
      <c r="F95" s="17">
        <v>0.0</v>
      </c>
      <c r="G95" s="24">
        <v>0.0</v>
      </c>
      <c r="H95" s="17">
        <f t="shared" si="33"/>
        <v>40</v>
      </c>
      <c r="I95" s="18">
        <v>869.0</v>
      </c>
      <c r="J95" s="19">
        <f t="shared" si="40"/>
        <v>34760</v>
      </c>
      <c r="K95" s="20"/>
      <c r="L95" s="21">
        <f t="shared" si="41"/>
        <v>6952</v>
      </c>
      <c r="M95" s="21">
        <f t="shared" si="42"/>
        <v>41712</v>
      </c>
      <c r="N95" s="19">
        <f t="shared" si="43"/>
        <v>834.24</v>
      </c>
      <c r="O95" s="27" t="s">
        <v>21</v>
      </c>
    </row>
    <row r="96">
      <c r="A96" s="16">
        <f t="shared" si="44"/>
        <v>85</v>
      </c>
      <c r="B96" s="16" t="s">
        <v>17</v>
      </c>
      <c r="C96" s="16" t="s">
        <v>101</v>
      </c>
      <c r="D96" s="17">
        <v>60.0</v>
      </c>
      <c r="E96" s="17">
        <f t="shared" si="32"/>
        <v>240</v>
      </c>
      <c r="F96" s="17">
        <v>60.0</v>
      </c>
      <c r="G96" s="17">
        <f>F96*4</f>
        <v>240</v>
      </c>
      <c r="H96" s="17">
        <f t="shared" si="33"/>
        <v>480</v>
      </c>
      <c r="I96" s="18">
        <v>616.0</v>
      </c>
      <c r="J96" s="19">
        <f t="shared" si="40"/>
        <v>295680</v>
      </c>
      <c r="K96" s="20"/>
      <c r="L96" s="21">
        <f t="shared" si="41"/>
        <v>59136</v>
      </c>
      <c r="M96" s="21">
        <f t="shared" si="42"/>
        <v>354816</v>
      </c>
      <c r="N96" s="19">
        <f t="shared" si="43"/>
        <v>7096.32</v>
      </c>
      <c r="O96" s="27">
        <v>33.0</v>
      </c>
    </row>
    <row r="97">
      <c r="A97" s="16">
        <f t="shared" si="44"/>
        <v>86</v>
      </c>
      <c r="B97" s="16" t="s">
        <v>17</v>
      </c>
      <c r="C97" s="16" t="s">
        <v>102</v>
      </c>
      <c r="D97" s="17">
        <v>80.0</v>
      </c>
      <c r="E97" s="17">
        <f t="shared" si="32"/>
        <v>320</v>
      </c>
      <c r="F97" s="17">
        <v>0.0</v>
      </c>
      <c r="G97" s="24">
        <v>0.0</v>
      </c>
      <c r="H97" s="17">
        <f t="shared" si="33"/>
        <v>320</v>
      </c>
      <c r="I97" s="18">
        <v>71.5</v>
      </c>
      <c r="J97" s="19">
        <f t="shared" si="40"/>
        <v>22880</v>
      </c>
      <c r="K97" s="20"/>
      <c r="L97" s="21">
        <f t="shared" si="41"/>
        <v>4576</v>
      </c>
      <c r="M97" s="21">
        <f t="shared" si="42"/>
        <v>27456</v>
      </c>
      <c r="N97" s="19">
        <f t="shared" si="43"/>
        <v>549.12</v>
      </c>
      <c r="O97" s="27" t="s">
        <v>21</v>
      </c>
    </row>
    <row r="98">
      <c r="A98" s="50"/>
      <c r="B98" s="50"/>
      <c r="C98" s="50"/>
      <c r="D98" s="51"/>
      <c r="E98" s="51"/>
      <c r="F98" s="51"/>
      <c r="G98" s="51"/>
      <c r="H98" s="51"/>
      <c r="I98" s="7"/>
      <c r="J98" s="52">
        <f>SUM(J2:J97)</f>
        <v>13953409.2</v>
      </c>
      <c r="K98" s="53"/>
      <c r="L98" s="54">
        <f t="shared" si="41"/>
        <v>2790681.84</v>
      </c>
      <c r="M98" s="54">
        <f t="shared" si="42"/>
        <v>16744091.04</v>
      </c>
      <c r="N98" s="55"/>
    </row>
    <row r="99">
      <c r="A99" s="50"/>
      <c r="B99" s="50"/>
      <c r="C99" s="50"/>
      <c r="D99" s="51"/>
      <c r="E99" s="51"/>
      <c r="F99" s="51"/>
      <c r="G99" s="51"/>
      <c r="H99" s="56"/>
      <c r="I99" s="7"/>
      <c r="J99" s="55"/>
      <c r="K99" s="50"/>
      <c r="L99" s="57"/>
      <c r="M99" s="57"/>
      <c r="N99" s="55"/>
      <c r="O99" s="58"/>
    </row>
    <row r="100">
      <c r="A100" s="50"/>
      <c r="B100" s="50"/>
      <c r="C100" s="50"/>
      <c r="D100" s="51"/>
      <c r="E100" s="51"/>
      <c r="F100" s="51"/>
      <c r="G100" s="51"/>
      <c r="H100" s="51"/>
      <c r="I100" s="59"/>
      <c r="J100" s="55"/>
      <c r="K100" s="50"/>
      <c r="L100" s="57"/>
      <c r="M100" s="57"/>
      <c r="N100" s="55"/>
      <c r="O100" s="60"/>
    </row>
  </sheetData>
  <autoFilter ref="$A$1:$M$99"/>
  <mergeCells count="50">
    <mergeCell ref="M46:M47"/>
    <mergeCell ref="O46:O47"/>
    <mergeCell ref="O56:O57"/>
    <mergeCell ref="D1:H1"/>
    <mergeCell ref="I1:M1"/>
    <mergeCell ref="A46:A47"/>
    <mergeCell ref="B46:B47"/>
    <mergeCell ref="J46:J47"/>
    <mergeCell ref="K46:K47"/>
    <mergeCell ref="L46:L47"/>
    <mergeCell ref="B78:B81"/>
    <mergeCell ref="J78:J81"/>
    <mergeCell ref="K78:K81"/>
    <mergeCell ref="L78:L81"/>
    <mergeCell ref="M78:M81"/>
    <mergeCell ref="N78:N81"/>
    <mergeCell ref="O78:O81"/>
    <mergeCell ref="K85:K86"/>
    <mergeCell ref="L85:L86"/>
    <mergeCell ref="J87:J89"/>
    <mergeCell ref="K87:K89"/>
    <mergeCell ref="L87:L89"/>
    <mergeCell ref="M87:M89"/>
    <mergeCell ref="N87:N89"/>
    <mergeCell ref="O87:O89"/>
    <mergeCell ref="M85:M86"/>
    <mergeCell ref="N85:N86"/>
    <mergeCell ref="J83:J84"/>
    <mergeCell ref="K83:K84"/>
    <mergeCell ref="L83:L84"/>
    <mergeCell ref="M83:M84"/>
    <mergeCell ref="N83:N84"/>
    <mergeCell ref="O83:O84"/>
    <mergeCell ref="J85:J86"/>
    <mergeCell ref="O85:O86"/>
    <mergeCell ref="A92:A93"/>
    <mergeCell ref="B92:B93"/>
    <mergeCell ref="J92:J93"/>
    <mergeCell ref="K92:K93"/>
    <mergeCell ref="L92:L93"/>
    <mergeCell ref="M92:M93"/>
    <mergeCell ref="N92:N93"/>
    <mergeCell ref="O92:O93"/>
    <mergeCell ref="A78:A81"/>
    <mergeCell ref="A83:A84"/>
    <mergeCell ref="B83:B84"/>
    <mergeCell ref="A85:A86"/>
    <mergeCell ref="B85:B86"/>
    <mergeCell ref="A87:A89"/>
    <mergeCell ref="B87:B89"/>
  </mergeCells>
  <printOptions gridLines="1" horizontalCentered="1"/>
  <pageMargins bottom="0.75" footer="0.0" header="0.0" left="0.7" right="0.7" top="0.75"/>
  <pageSetup fitToHeight="0" paperSize="8" cellComments="atEnd" orientation="landscape" pageOrder="overThenDown"/>
  <drawing r:id="rId1"/>
</worksheet>
</file>